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lmcclary\Desktop\My Work\Application Drafts\Attachments\"/>
    </mc:Choice>
  </mc:AlternateContent>
  <xr:revisionPtr revIDLastSave="0" documentId="8_{678E53EC-69CA-4BF1-9803-4AB2A7F52562}" xr6:coauthVersionLast="44" xr6:coauthVersionMax="44" xr10:uidLastSave="{00000000-0000-0000-0000-000000000000}"/>
  <bookViews>
    <workbookView xWindow="-110" yWindow="-110" windowWidth="19420" windowHeight="10420" tabRatio="925" firstSheet="5" activeTab="10" xr2:uid="{00000000-000D-0000-FFFF-FFFF00000000}"/>
  </bookViews>
  <sheets>
    <sheet name="Source" sheetId="12" state="hidden" r:id="rId1"/>
    <sheet name="Instructions" sheetId="1" r:id="rId2"/>
    <sheet name="1) Proposed School Information" sheetId="10" r:id="rId3"/>
    <sheet name="2) Student Assumptions" sheetId="3" r:id="rId4"/>
    <sheet name="3) Pre-Opening Budget" sheetId="15" r:id="rId5"/>
    <sheet name="4) Pre-Opening Cash Flow" sheetId="18" r:id="rId6"/>
    <sheet name="5) Year 1-5 Staff Assumptions" sheetId="11" r:id="rId7"/>
    <sheet name="6) Year 1 Budget" sheetId="13" r:id="rId8"/>
    <sheet name="7) Year 1 Cash Flow" sheetId="17" r:id="rId9"/>
    <sheet name="8) Year 2 through 5 Budget" sheetId="14" r:id="rId10"/>
    <sheet name="9) Summary" sheetId="19" r:id="rId11"/>
  </sheets>
  <definedNames>
    <definedName name="_xlnm.Print_Area" localSheetId="3">'2) Student Assumptions'!$A$1:$Q$79</definedName>
    <definedName name="_xlnm.Print_Area" localSheetId="4">'3) Pre-Opening Budget'!$A$1:$I$192</definedName>
    <definedName name="_xlnm.Print_Area" localSheetId="5">'4) Pre-Opening Cash Flow'!$A$1:$V$222</definedName>
    <definedName name="_xlnm.Print_Area" localSheetId="6">'5) Year 1-5 Staff Assumptions'!$A$1:$Q$107</definedName>
    <definedName name="_xlnm.Print_Area" localSheetId="7">'6) Year 1 Budget'!$A$1:$I$189</definedName>
    <definedName name="_xlnm.Print_Area" localSheetId="8">'7) Year 1 Cash Flow'!$A$1:$W$227</definedName>
    <definedName name="_xlnm.Print_Area" localSheetId="9">'8) Year 2 through 5 Budget'!$A$1:$K$189</definedName>
    <definedName name="_xlnm.Print_Area" localSheetId="1">Instructions!$A$1:$H$44</definedName>
    <definedName name="_xlnm.Print_Titles" localSheetId="3">'2) Student Assumptions'!$2:$6</definedName>
    <definedName name="_xlnm.Print_Titles" localSheetId="4">'3) Pre-Opening Budget'!$2:$6</definedName>
    <definedName name="_xlnm.Print_Titles" localSheetId="5">'4) Pre-Opening Cash Flow'!$2:$6</definedName>
    <definedName name="_xlnm.Print_Titles" localSheetId="6">'5) Year 1-5 Staff Assumptions'!$2:$5</definedName>
    <definedName name="_xlnm.Print_Titles" localSheetId="7">'6) Year 1 Budget'!$2:$5</definedName>
    <definedName name="_xlnm.Print_Titles" localSheetId="8">'7) Year 1 Cash Flow'!$2:$7</definedName>
    <definedName name="_xlnm.Print_Titles" localSheetId="9">'8) Year 2 through 5 Budget'!$2:$5</definedName>
    <definedName name="T29T58">'7) Year 1 Cash Flow'!$T$29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3" i="17" l="1"/>
  <c r="P163" i="17"/>
  <c r="O163" i="17"/>
  <c r="N163" i="17"/>
  <c r="M163" i="17"/>
  <c r="L163" i="17"/>
  <c r="K163" i="17"/>
  <c r="J163" i="17"/>
  <c r="I163" i="17"/>
  <c r="H163" i="17"/>
  <c r="G163" i="17"/>
  <c r="E146" i="13"/>
  <c r="E125" i="13"/>
  <c r="E166" i="15"/>
  <c r="I164" i="14" l="1"/>
  <c r="H164" i="14"/>
  <c r="G164" i="14"/>
  <c r="F164" i="14"/>
  <c r="E164" i="13"/>
  <c r="I157" i="14"/>
  <c r="H157" i="14"/>
  <c r="G157" i="14"/>
  <c r="F157" i="14"/>
  <c r="I156" i="14"/>
  <c r="H156" i="14"/>
  <c r="G156" i="14"/>
  <c r="F156" i="14"/>
  <c r="I155" i="14"/>
  <c r="H155" i="14"/>
  <c r="G155" i="14"/>
  <c r="F155" i="14"/>
  <c r="E157" i="13"/>
  <c r="E156" i="13"/>
  <c r="E155" i="13"/>
  <c r="Q58" i="17" l="1"/>
  <c r="O58" i="17"/>
  <c r="N58" i="17"/>
  <c r="M58" i="17"/>
  <c r="L58" i="17"/>
  <c r="K58" i="17"/>
  <c r="J58" i="17"/>
  <c r="I58" i="17"/>
  <c r="H58" i="17"/>
  <c r="Q180" i="18"/>
  <c r="P180" i="18"/>
  <c r="O180" i="18"/>
  <c r="N180" i="18"/>
  <c r="M180" i="18"/>
  <c r="L180" i="18"/>
  <c r="K180" i="18"/>
  <c r="J180" i="18"/>
  <c r="I180" i="18"/>
  <c r="H180" i="18"/>
  <c r="Q140" i="18"/>
  <c r="P140" i="18"/>
  <c r="O140" i="18"/>
  <c r="N140" i="18"/>
  <c r="M140" i="18"/>
  <c r="L140" i="18"/>
  <c r="K140" i="18"/>
  <c r="J140" i="18"/>
  <c r="I140" i="18"/>
  <c r="H140" i="18"/>
  <c r="Q139" i="18"/>
  <c r="P139" i="18"/>
  <c r="O139" i="18"/>
  <c r="N139" i="18"/>
  <c r="M139" i="18"/>
  <c r="L139" i="18"/>
  <c r="K139" i="18"/>
  <c r="J139" i="18"/>
  <c r="I139" i="18"/>
  <c r="H139" i="18"/>
  <c r="Q138" i="18"/>
  <c r="P138" i="18"/>
  <c r="O138" i="18"/>
  <c r="N138" i="18"/>
  <c r="M138" i="18"/>
  <c r="L138" i="18"/>
  <c r="K138" i="18"/>
  <c r="J138" i="18"/>
  <c r="I138" i="18"/>
  <c r="H138" i="18"/>
  <c r="Q136" i="18"/>
  <c r="P136" i="18"/>
  <c r="O136" i="18"/>
  <c r="N136" i="18"/>
  <c r="M136" i="18"/>
  <c r="L136" i="18"/>
  <c r="K136" i="18"/>
  <c r="J136" i="18"/>
  <c r="I136" i="18"/>
  <c r="H136" i="18"/>
  <c r="Q134" i="18"/>
  <c r="P134" i="18"/>
  <c r="O134" i="18"/>
  <c r="N134" i="18"/>
  <c r="M134" i="18"/>
  <c r="L134" i="18"/>
  <c r="K134" i="18"/>
  <c r="J134" i="18"/>
  <c r="I134" i="18"/>
  <c r="H134" i="18"/>
  <c r="Q133" i="18"/>
  <c r="P133" i="18"/>
  <c r="O133" i="18"/>
  <c r="N133" i="18"/>
  <c r="M133" i="18"/>
  <c r="L133" i="18"/>
  <c r="K133" i="18"/>
  <c r="J133" i="18"/>
  <c r="I133" i="18"/>
  <c r="H133" i="18"/>
  <c r="Q132" i="18"/>
  <c r="P132" i="18"/>
  <c r="O132" i="18"/>
  <c r="N132" i="18"/>
  <c r="M132" i="18"/>
  <c r="L132" i="18"/>
  <c r="K132" i="18"/>
  <c r="J132" i="18"/>
  <c r="I132" i="18"/>
  <c r="H132" i="18"/>
  <c r="E149" i="15"/>
  <c r="E135" i="15"/>
  <c r="Q63" i="17" l="1"/>
  <c r="N63" i="17"/>
  <c r="K63" i="17"/>
  <c r="H63" i="17"/>
  <c r="Q57" i="17"/>
  <c r="Q56" i="17"/>
  <c r="Q17" i="17"/>
  <c r="I25" i="14"/>
  <c r="H25" i="14"/>
  <c r="G25" i="14"/>
  <c r="F25" i="14"/>
  <c r="C43" i="14"/>
  <c r="C175" i="14"/>
  <c r="C174" i="14"/>
  <c r="C173" i="14"/>
  <c r="C172" i="14"/>
  <c r="C161" i="14"/>
  <c r="I133" i="14"/>
  <c r="H133" i="14"/>
  <c r="G133" i="14"/>
  <c r="F133" i="14"/>
  <c r="I135" i="14"/>
  <c r="H135" i="14"/>
  <c r="G135" i="14"/>
  <c r="F135" i="14"/>
  <c r="I134" i="14"/>
  <c r="H134" i="14"/>
  <c r="G134" i="14"/>
  <c r="F134" i="14"/>
  <c r="E134" i="13"/>
  <c r="C134" i="14"/>
  <c r="I130" i="14"/>
  <c r="H130" i="14"/>
  <c r="G130" i="14"/>
  <c r="F130" i="14"/>
  <c r="I132" i="14"/>
  <c r="H132" i="14"/>
  <c r="G132" i="14"/>
  <c r="F132" i="14"/>
  <c r="I129" i="14"/>
  <c r="H129" i="14"/>
  <c r="G129" i="14"/>
  <c r="F129" i="14"/>
  <c r="I128" i="14"/>
  <c r="H128" i="14"/>
  <c r="G128" i="14"/>
  <c r="F128" i="14"/>
  <c r="I127" i="14"/>
  <c r="H127" i="14"/>
  <c r="G127" i="14"/>
  <c r="F127" i="14"/>
  <c r="I126" i="14"/>
  <c r="H126" i="14"/>
  <c r="G126" i="14"/>
  <c r="F126" i="14"/>
  <c r="I125" i="14"/>
  <c r="H125" i="14"/>
  <c r="G125" i="14"/>
  <c r="F125" i="14"/>
  <c r="I122" i="14"/>
  <c r="H122" i="14"/>
  <c r="G122" i="14"/>
  <c r="F122" i="14"/>
  <c r="C135" i="14"/>
  <c r="C133" i="14"/>
  <c r="C132" i="14"/>
  <c r="C131" i="14"/>
  <c r="C130" i="14"/>
  <c r="C129" i="14"/>
  <c r="C128" i="14"/>
  <c r="C127" i="14"/>
  <c r="C126" i="14"/>
  <c r="C125" i="14"/>
  <c r="C124" i="14"/>
  <c r="C123" i="14"/>
  <c r="C122" i="14"/>
  <c r="C121" i="14"/>
  <c r="H73" i="3"/>
  <c r="H74" i="3"/>
  <c r="G73" i="3"/>
  <c r="G74" i="3"/>
  <c r="F73" i="3"/>
  <c r="F74" i="3"/>
  <c r="E73" i="3"/>
  <c r="E74" i="3"/>
  <c r="E164" i="14"/>
  <c r="I163" i="14"/>
  <c r="H163" i="14"/>
  <c r="G163" i="14"/>
  <c r="F163" i="14"/>
  <c r="I162" i="14"/>
  <c r="H162" i="14"/>
  <c r="G162" i="14"/>
  <c r="F162" i="14"/>
  <c r="I161" i="14"/>
  <c r="H161" i="14"/>
  <c r="G161" i="14"/>
  <c r="F161" i="14"/>
  <c r="I160" i="14"/>
  <c r="H160" i="14"/>
  <c r="G160" i="14"/>
  <c r="F160" i="14"/>
  <c r="I159" i="14"/>
  <c r="H159" i="14"/>
  <c r="G159" i="14"/>
  <c r="F159" i="14"/>
  <c r="I158" i="14"/>
  <c r="H158" i="14"/>
  <c r="G158" i="14"/>
  <c r="F158" i="14"/>
  <c r="C169" i="14"/>
  <c r="C168" i="14"/>
  <c r="C167" i="14"/>
  <c r="C166" i="14"/>
  <c r="C165" i="14"/>
  <c r="C160" i="14"/>
  <c r="C158" i="14"/>
  <c r="C156" i="14"/>
  <c r="C155" i="14"/>
  <c r="B148" i="14"/>
  <c r="F38" i="11"/>
  <c r="I150" i="14"/>
  <c r="H150" i="14"/>
  <c r="G150" i="14"/>
  <c r="F150" i="14"/>
  <c r="E151" i="13"/>
  <c r="I149" i="14"/>
  <c r="H149" i="14"/>
  <c r="G149" i="14"/>
  <c r="F149" i="14"/>
  <c r="I147" i="14"/>
  <c r="H147" i="14"/>
  <c r="G147" i="14"/>
  <c r="F147" i="14"/>
  <c r="I146" i="14"/>
  <c r="H146" i="14"/>
  <c r="G146" i="14"/>
  <c r="F146" i="14"/>
  <c r="C152" i="14"/>
  <c r="C151" i="14"/>
  <c r="C150" i="14"/>
  <c r="C149" i="14"/>
  <c r="C148" i="14"/>
  <c r="C147" i="14"/>
  <c r="C146" i="14"/>
  <c r="C145" i="14"/>
  <c r="C144" i="14"/>
  <c r="C143" i="14"/>
  <c r="C142" i="14"/>
  <c r="C141" i="14"/>
  <c r="C140" i="14"/>
  <c r="C139" i="14"/>
  <c r="C138" i="14"/>
  <c r="I144" i="14"/>
  <c r="H144" i="14"/>
  <c r="G144" i="14"/>
  <c r="F144" i="14"/>
  <c r="F138" i="14"/>
  <c r="I143" i="14"/>
  <c r="H143" i="14"/>
  <c r="G143" i="14"/>
  <c r="F143" i="14"/>
  <c r="I142" i="14"/>
  <c r="H142" i="14"/>
  <c r="G142" i="14"/>
  <c r="F142" i="14"/>
  <c r="I140" i="14"/>
  <c r="H140" i="14"/>
  <c r="G140" i="14"/>
  <c r="F140" i="14"/>
  <c r="I139" i="14"/>
  <c r="H139" i="14"/>
  <c r="G139" i="14"/>
  <c r="F139" i="14"/>
  <c r="I138" i="14"/>
  <c r="H138" i="14"/>
  <c r="G138" i="14"/>
  <c r="E149" i="13"/>
  <c r="E148" i="13"/>
  <c r="E141" i="13"/>
  <c r="E124" i="13"/>
  <c r="E123" i="13"/>
  <c r="E130" i="13"/>
  <c r="E25" i="13"/>
  <c r="E63" i="17"/>
  <c r="E43" i="14"/>
  <c r="H157" i="18"/>
  <c r="E150" i="15"/>
  <c r="E126" i="15"/>
  <c r="E123" i="15"/>
  <c r="E43" i="15"/>
  <c r="E42" i="15"/>
  <c r="E63" i="3"/>
  <c r="E132" i="13"/>
  <c r="E124" i="14"/>
  <c r="F124" i="14"/>
  <c r="G124" i="14"/>
  <c r="H124" i="14"/>
  <c r="I124" i="14"/>
  <c r="E123" i="14"/>
  <c r="F123" i="14"/>
  <c r="G123" i="14"/>
  <c r="H123" i="14"/>
  <c r="I123" i="14"/>
  <c r="E121" i="14"/>
  <c r="P212" i="17"/>
  <c r="O212" i="17"/>
  <c r="N212" i="17"/>
  <c r="M212" i="17"/>
  <c r="L212" i="17"/>
  <c r="K212" i="17"/>
  <c r="J212" i="17"/>
  <c r="I212" i="17"/>
  <c r="H212" i="17"/>
  <c r="G212" i="17"/>
  <c r="F212" i="17"/>
  <c r="Q211" i="17"/>
  <c r="P211" i="17"/>
  <c r="O211" i="17"/>
  <c r="N211" i="17"/>
  <c r="M211" i="17"/>
  <c r="L211" i="17"/>
  <c r="Q210" i="17"/>
  <c r="P210" i="17"/>
  <c r="O210" i="17"/>
  <c r="N210" i="17"/>
  <c r="M210" i="17"/>
  <c r="E143" i="13"/>
  <c r="E181" i="17"/>
  <c r="F180" i="17"/>
  <c r="F178" i="17"/>
  <c r="F177" i="17"/>
  <c r="F176" i="17"/>
  <c r="E170" i="17"/>
  <c r="P170" i="17"/>
  <c r="O170" i="17"/>
  <c r="N170" i="17"/>
  <c r="M170" i="17"/>
  <c r="L170" i="17"/>
  <c r="K170" i="17"/>
  <c r="J170" i="17"/>
  <c r="I170" i="17"/>
  <c r="H170" i="17"/>
  <c r="G170" i="17"/>
  <c r="G167" i="17"/>
  <c r="E168" i="17"/>
  <c r="G168" i="17"/>
  <c r="P168" i="17"/>
  <c r="O168" i="17"/>
  <c r="N168" i="17"/>
  <c r="M168" i="17"/>
  <c r="L168" i="17"/>
  <c r="K168" i="17"/>
  <c r="J168" i="17"/>
  <c r="I168" i="17"/>
  <c r="H168" i="17"/>
  <c r="P167" i="17"/>
  <c r="O167" i="17"/>
  <c r="N167" i="17"/>
  <c r="M167" i="17"/>
  <c r="L167" i="17"/>
  <c r="K167" i="17"/>
  <c r="J167" i="17"/>
  <c r="I167" i="17"/>
  <c r="H167" i="17"/>
  <c r="E161" i="17"/>
  <c r="Q161" i="17"/>
  <c r="O57" i="17"/>
  <c r="N57" i="17"/>
  <c r="M57" i="17"/>
  <c r="L57" i="17"/>
  <c r="K57" i="17"/>
  <c r="J57" i="17"/>
  <c r="I57" i="17"/>
  <c r="H57" i="17"/>
  <c r="E18" i="13"/>
  <c r="E56" i="17"/>
  <c r="O56" i="17"/>
  <c r="N56" i="17"/>
  <c r="M56" i="17"/>
  <c r="L56" i="17"/>
  <c r="K56" i="17"/>
  <c r="J56" i="17"/>
  <c r="I56" i="17"/>
  <c r="H56" i="17"/>
  <c r="G58" i="17"/>
  <c r="G57" i="17"/>
  <c r="G56" i="17"/>
  <c r="E160" i="13"/>
  <c r="E159" i="13"/>
  <c r="E30" i="11"/>
  <c r="E40" i="11"/>
  <c r="E145" i="13" s="1"/>
  <c r="E144" i="13"/>
  <c r="E142" i="13"/>
  <c r="E140" i="13"/>
  <c r="E122" i="13"/>
  <c r="E48" i="11"/>
  <c r="F48" i="11"/>
  <c r="G48" i="11" s="1"/>
  <c r="F67" i="11"/>
  <c r="F59" i="11"/>
  <c r="F65" i="14" s="1"/>
  <c r="F61" i="11"/>
  <c r="F63" i="11"/>
  <c r="F51" i="11"/>
  <c r="F52" i="11"/>
  <c r="F58" i="14" s="1"/>
  <c r="F53" i="11"/>
  <c r="F54" i="11"/>
  <c r="F55" i="11"/>
  <c r="E59" i="11"/>
  <c r="E60" i="11"/>
  <c r="E62" i="11"/>
  <c r="E61" i="11"/>
  <c r="E63" i="11"/>
  <c r="E70" i="11"/>
  <c r="E72" i="11" s="1"/>
  <c r="E67" i="11"/>
  <c r="E68" i="11"/>
  <c r="E69" i="11"/>
  <c r="E71" i="11"/>
  <c r="E51" i="11"/>
  <c r="E56" i="11" s="1"/>
  <c r="E62" i="13" s="1"/>
  <c r="E52" i="11"/>
  <c r="E53" i="11"/>
  <c r="E54" i="11"/>
  <c r="E55" i="11"/>
  <c r="I22" i="11"/>
  <c r="I30" i="11"/>
  <c r="I38" i="11"/>
  <c r="H30" i="11"/>
  <c r="H38" i="11"/>
  <c r="H22" i="11"/>
  <c r="G30" i="11"/>
  <c r="G38" i="11"/>
  <c r="F30" i="11"/>
  <c r="F40" i="11" s="1"/>
  <c r="E209" i="18"/>
  <c r="H209" i="18"/>
  <c r="Q206" i="18"/>
  <c r="P206" i="18"/>
  <c r="O206" i="18"/>
  <c r="N206" i="18"/>
  <c r="M206" i="18"/>
  <c r="L206" i="18"/>
  <c r="K206" i="18"/>
  <c r="J206" i="18"/>
  <c r="I206" i="18"/>
  <c r="H206" i="18"/>
  <c r="Q205" i="18"/>
  <c r="P205" i="18"/>
  <c r="O205" i="18"/>
  <c r="N205" i="18"/>
  <c r="M205" i="18"/>
  <c r="L205" i="18"/>
  <c r="K205" i="18"/>
  <c r="J205" i="18"/>
  <c r="I205" i="18"/>
  <c r="H205" i="18"/>
  <c r="P189" i="18"/>
  <c r="Q189" i="18"/>
  <c r="O189" i="18"/>
  <c r="Q188" i="18"/>
  <c r="P188" i="18"/>
  <c r="O188" i="18"/>
  <c r="Q179" i="18"/>
  <c r="P179" i="18"/>
  <c r="O179" i="18"/>
  <c r="N179" i="18"/>
  <c r="M179" i="18"/>
  <c r="L179" i="18"/>
  <c r="K179" i="18"/>
  <c r="J179" i="18"/>
  <c r="I179" i="18"/>
  <c r="H179" i="18"/>
  <c r="E181" i="18"/>
  <c r="Q181" i="18"/>
  <c r="P181" i="18"/>
  <c r="O181" i="18"/>
  <c r="N181" i="18"/>
  <c r="M181" i="18"/>
  <c r="L181" i="18"/>
  <c r="K181" i="18"/>
  <c r="J181" i="18"/>
  <c r="I181" i="18"/>
  <c r="H181" i="18"/>
  <c r="H178" i="18"/>
  <c r="H176" i="18"/>
  <c r="Q168" i="18"/>
  <c r="P168" i="18"/>
  <c r="O168" i="18"/>
  <c r="N168" i="18"/>
  <c r="M168" i="18"/>
  <c r="L168" i="18"/>
  <c r="K168" i="18"/>
  <c r="J168" i="18"/>
  <c r="I168" i="18"/>
  <c r="H168" i="18"/>
  <c r="Q167" i="18"/>
  <c r="P167" i="18"/>
  <c r="O167" i="18"/>
  <c r="N167" i="18"/>
  <c r="M167" i="18"/>
  <c r="L167" i="18"/>
  <c r="K167" i="18"/>
  <c r="J167" i="18"/>
  <c r="I167" i="18"/>
  <c r="E136" i="15"/>
  <c r="E167" i="18"/>
  <c r="H167" i="18"/>
  <c r="Q161" i="18"/>
  <c r="P161" i="18"/>
  <c r="O161" i="18"/>
  <c r="N161" i="18"/>
  <c r="M161" i="18"/>
  <c r="L161" i="18"/>
  <c r="K161" i="18"/>
  <c r="J161" i="18"/>
  <c r="I161" i="18"/>
  <c r="H161" i="18"/>
  <c r="Q160" i="18"/>
  <c r="P160" i="18"/>
  <c r="O160" i="18"/>
  <c r="N160" i="18"/>
  <c r="M160" i="18"/>
  <c r="L160" i="18"/>
  <c r="K160" i="18"/>
  <c r="J160" i="18"/>
  <c r="I160" i="18"/>
  <c r="H160" i="18"/>
  <c r="E157" i="18"/>
  <c r="Q155" i="18"/>
  <c r="P155" i="18"/>
  <c r="O155" i="18"/>
  <c r="N155" i="18"/>
  <c r="M155" i="18"/>
  <c r="L155" i="18"/>
  <c r="E154" i="18"/>
  <c r="H154" i="18"/>
  <c r="E124" i="15"/>
  <c r="Q98" i="18"/>
  <c r="P98" i="18"/>
  <c r="O98" i="18"/>
  <c r="N98" i="18"/>
  <c r="M98" i="18"/>
  <c r="E66" i="15"/>
  <c r="E98" i="18"/>
  <c r="L98" i="18"/>
  <c r="Q95" i="18"/>
  <c r="O95" i="18"/>
  <c r="N95" i="18"/>
  <c r="M95" i="18"/>
  <c r="L95" i="18"/>
  <c r="K95" i="18"/>
  <c r="J95" i="18"/>
  <c r="I95" i="18"/>
  <c r="H95" i="18"/>
  <c r="E174" i="15"/>
  <c r="E158" i="15"/>
  <c r="E157" i="15"/>
  <c r="E147" i="15"/>
  <c r="E146" i="15"/>
  <c r="E145" i="15"/>
  <c r="E129" i="15"/>
  <c r="C98" i="11"/>
  <c r="C97" i="11"/>
  <c r="C96" i="11"/>
  <c r="I29" i="14"/>
  <c r="H29" i="14"/>
  <c r="G29" i="14"/>
  <c r="F29" i="14"/>
  <c r="E29" i="13"/>
  <c r="I20" i="14"/>
  <c r="H20" i="14"/>
  <c r="G20" i="14"/>
  <c r="F20" i="14"/>
  <c r="I19" i="14"/>
  <c r="H19" i="14"/>
  <c r="G19" i="14"/>
  <c r="F19" i="14"/>
  <c r="I18" i="14"/>
  <c r="H18" i="14"/>
  <c r="G18" i="14"/>
  <c r="F18" i="14"/>
  <c r="E151" i="14"/>
  <c r="E148" i="14"/>
  <c r="E143" i="14"/>
  <c r="E138" i="13"/>
  <c r="E138" i="14"/>
  <c r="E174" i="13"/>
  <c r="E173" i="13"/>
  <c r="E158" i="13"/>
  <c r="E150" i="13"/>
  <c r="E147" i="13"/>
  <c r="E139" i="13"/>
  <c r="E135" i="13"/>
  <c r="E133" i="13"/>
  <c r="E131" i="13"/>
  <c r="E129" i="13"/>
  <c r="E128" i="13"/>
  <c r="E127" i="13"/>
  <c r="E126" i="13"/>
  <c r="C70" i="13"/>
  <c r="E175" i="15"/>
  <c r="E161" i="15"/>
  <c r="E162" i="15"/>
  <c r="E151" i="15"/>
  <c r="E148" i="15"/>
  <c r="E137" i="15"/>
  <c r="E130" i="15"/>
  <c r="E187" i="15"/>
  <c r="E68" i="15"/>
  <c r="E92" i="15"/>
  <c r="E101" i="15"/>
  <c r="E102" i="15"/>
  <c r="E105" i="15"/>
  <c r="E110" i="15"/>
  <c r="E112" i="15"/>
  <c r="E189" i="15"/>
  <c r="E109" i="15"/>
  <c r="E108" i="15"/>
  <c r="E107" i="15"/>
  <c r="E103" i="15"/>
  <c r="E63" i="15"/>
  <c r="B174" i="13"/>
  <c r="E205" i="18"/>
  <c r="E168" i="18"/>
  <c r="E134" i="18"/>
  <c r="H114" i="18"/>
  <c r="G22" i="11"/>
  <c r="F22" i="11"/>
  <c r="B212" i="17"/>
  <c r="B175" i="13"/>
  <c r="B213" i="17"/>
  <c r="B188" i="17"/>
  <c r="B213" i="18"/>
  <c r="B214" i="18"/>
  <c r="B215" i="18"/>
  <c r="B216" i="18"/>
  <c r="B206" i="18"/>
  <c r="B207" i="18"/>
  <c r="B208" i="18"/>
  <c r="B209" i="18"/>
  <c r="B189" i="18"/>
  <c r="B190" i="18"/>
  <c r="B191" i="18"/>
  <c r="B192" i="18"/>
  <c r="B193" i="18"/>
  <c r="B194" i="18"/>
  <c r="B195" i="18"/>
  <c r="B196" i="18"/>
  <c r="B197" i="18"/>
  <c r="B198" i="18"/>
  <c r="B199" i="18"/>
  <c r="B200" i="18"/>
  <c r="B201" i="18"/>
  <c r="B202" i="18"/>
  <c r="B172" i="18"/>
  <c r="B173" i="18"/>
  <c r="B174" i="18"/>
  <c r="B175" i="18"/>
  <c r="B176" i="18"/>
  <c r="B177" i="18"/>
  <c r="B178" i="18"/>
  <c r="B179" i="18"/>
  <c r="B180" i="18"/>
  <c r="B181" i="18"/>
  <c r="B182" i="18"/>
  <c r="B183" i="18"/>
  <c r="B184" i="18"/>
  <c r="B185" i="18"/>
  <c r="B155" i="18"/>
  <c r="B156" i="18"/>
  <c r="B157" i="18"/>
  <c r="B158" i="18"/>
  <c r="B159" i="18"/>
  <c r="B160" i="18"/>
  <c r="B161" i="18"/>
  <c r="B162" i="18"/>
  <c r="B163" i="18"/>
  <c r="B164" i="18"/>
  <c r="B165" i="18"/>
  <c r="B166" i="18"/>
  <c r="B167" i="18"/>
  <c r="B168" i="18"/>
  <c r="E82" i="18"/>
  <c r="E80" i="18"/>
  <c r="E81" i="18"/>
  <c r="E206" i="18"/>
  <c r="E194" i="18"/>
  <c r="E196" i="18"/>
  <c r="E197" i="18"/>
  <c r="E178" i="18"/>
  <c r="E166" i="18"/>
  <c r="E155" i="18"/>
  <c r="E84" i="15"/>
  <c r="E138" i="18"/>
  <c r="E113" i="18"/>
  <c r="E114" i="18"/>
  <c r="G114" i="18"/>
  <c r="E111" i="18"/>
  <c r="I111" i="18"/>
  <c r="M111" i="18"/>
  <c r="L111" i="18"/>
  <c r="E95" i="18"/>
  <c r="E212" i="17"/>
  <c r="E213" i="17"/>
  <c r="E211" i="17"/>
  <c r="E210" i="17"/>
  <c r="E201" i="17"/>
  <c r="E194" i="17"/>
  <c r="K194" i="17" s="1"/>
  <c r="E195" i="17"/>
  <c r="O195" i="17" s="1"/>
  <c r="E196" i="17"/>
  <c r="E29" i="3"/>
  <c r="E188" i="17"/>
  <c r="E22" i="11"/>
  <c r="E38" i="11"/>
  <c r="E189" i="17"/>
  <c r="E190" i="17"/>
  <c r="E187" i="17"/>
  <c r="E184" i="17"/>
  <c r="E185" i="17"/>
  <c r="E186" i="17"/>
  <c r="E182" i="17"/>
  <c r="E179" i="17"/>
  <c r="E178" i="17"/>
  <c r="E180" i="17"/>
  <c r="E177" i="17"/>
  <c r="E176" i="17"/>
  <c r="E160" i="17"/>
  <c r="G160" i="17"/>
  <c r="F160" i="17"/>
  <c r="H160" i="17"/>
  <c r="I160" i="17"/>
  <c r="K160" i="17"/>
  <c r="M160" i="17"/>
  <c r="N160" i="17"/>
  <c r="P160" i="17"/>
  <c r="Q160" i="17"/>
  <c r="E162" i="17"/>
  <c r="E163" i="17"/>
  <c r="N27" i="17" s="1"/>
  <c r="E164" i="17"/>
  <c r="K164" i="17"/>
  <c r="G164" i="17"/>
  <c r="J164" i="17"/>
  <c r="L164" i="17"/>
  <c r="M164" i="17"/>
  <c r="O164" i="17"/>
  <c r="E165" i="17"/>
  <c r="F165" i="17"/>
  <c r="J165" i="17"/>
  <c r="M165" i="17"/>
  <c r="E166" i="17"/>
  <c r="I166" i="17"/>
  <c r="M166" i="17"/>
  <c r="E167" i="17"/>
  <c r="E169" i="17"/>
  <c r="J169" i="17"/>
  <c r="F169" i="17"/>
  <c r="G169" i="17"/>
  <c r="H169" i="17"/>
  <c r="I169" i="17"/>
  <c r="K169" i="17"/>
  <c r="L169" i="17"/>
  <c r="M169" i="17"/>
  <c r="N169" i="17"/>
  <c r="O169" i="17"/>
  <c r="P169" i="17"/>
  <c r="Q169" i="17"/>
  <c r="E171" i="17"/>
  <c r="H171" i="17"/>
  <c r="G171" i="17"/>
  <c r="I171" i="17"/>
  <c r="J171" i="17"/>
  <c r="L171" i="17"/>
  <c r="M171" i="17"/>
  <c r="N171" i="17"/>
  <c r="O171" i="17"/>
  <c r="Q171" i="17"/>
  <c r="E31" i="3"/>
  <c r="E172" i="17"/>
  <c r="J172" i="17"/>
  <c r="F172" i="17"/>
  <c r="G172" i="17"/>
  <c r="H172" i="17"/>
  <c r="I172" i="17"/>
  <c r="K172" i="17"/>
  <c r="L172" i="17"/>
  <c r="M172" i="17"/>
  <c r="N172" i="17"/>
  <c r="O172" i="17"/>
  <c r="P172" i="17"/>
  <c r="Q172" i="17"/>
  <c r="E173" i="17"/>
  <c r="F173" i="17"/>
  <c r="G173" i="17"/>
  <c r="H173" i="17"/>
  <c r="I173" i="17"/>
  <c r="J173" i="17"/>
  <c r="K173" i="17"/>
  <c r="L173" i="17"/>
  <c r="M173" i="17"/>
  <c r="N173" i="17"/>
  <c r="O173" i="17"/>
  <c r="P173" i="17"/>
  <c r="Q173" i="17"/>
  <c r="E159" i="17"/>
  <c r="E80" i="17"/>
  <c r="E30" i="13"/>
  <c r="E68" i="17" s="1"/>
  <c r="E67" i="17"/>
  <c r="E20" i="13"/>
  <c r="E58" i="17"/>
  <c r="E19" i="13"/>
  <c r="E57" i="17"/>
  <c r="G29" i="3"/>
  <c r="G24" i="10"/>
  <c r="H29" i="3"/>
  <c r="I29" i="3"/>
  <c r="I63" i="3"/>
  <c r="F29" i="3"/>
  <c r="G31" i="3"/>
  <c r="E118" i="14"/>
  <c r="F118" i="14"/>
  <c r="G118" i="14"/>
  <c r="H118" i="14"/>
  <c r="I118" i="14"/>
  <c r="E13" i="13"/>
  <c r="E13" i="14"/>
  <c r="F13" i="14"/>
  <c r="G13" i="14"/>
  <c r="H13" i="14"/>
  <c r="I13" i="14"/>
  <c r="B139" i="13"/>
  <c r="B177" i="17"/>
  <c r="B140" i="13"/>
  <c r="B178" i="17"/>
  <c r="B141" i="13"/>
  <c r="B179" i="17"/>
  <c r="B142" i="13"/>
  <c r="B180" i="17"/>
  <c r="B143" i="13"/>
  <c r="B181" i="17"/>
  <c r="B144" i="13"/>
  <c r="B182" i="17"/>
  <c r="B145" i="13"/>
  <c r="B183" i="17"/>
  <c r="B146" i="13"/>
  <c r="B184" i="17"/>
  <c r="B147" i="13"/>
  <c r="B147" i="14" s="1"/>
  <c r="B185" i="17"/>
  <c r="B148" i="13"/>
  <c r="B186" i="17"/>
  <c r="B149" i="13"/>
  <c r="B187" i="17"/>
  <c r="B150" i="13"/>
  <c r="B151" i="13"/>
  <c r="B189" i="17"/>
  <c r="B152" i="13"/>
  <c r="B190" i="17"/>
  <c r="B122" i="13"/>
  <c r="B160" i="17"/>
  <c r="B123" i="13"/>
  <c r="B161" i="17"/>
  <c r="B124" i="13"/>
  <c r="B162" i="17"/>
  <c r="B125" i="13"/>
  <c r="B163" i="17"/>
  <c r="B126" i="13"/>
  <c r="B164" i="17"/>
  <c r="B127" i="13"/>
  <c r="B165" i="17"/>
  <c r="B128" i="13"/>
  <c r="B166" i="17"/>
  <c r="B129" i="13"/>
  <c r="B167" i="17"/>
  <c r="B130" i="13"/>
  <c r="B168" i="17"/>
  <c r="B131" i="13"/>
  <c r="B169" i="17"/>
  <c r="B132" i="13"/>
  <c r="B170" i="17"/>
  <c r="B133" i="13"/>
  <c r="B171" i="17"/>
  <c r="B134" i="13"/>
  <c r="B172" i="17"/>
  <c r="B135" i="13"/>
  <c r="B173" i="17"/>
  <c r="I35" i="14"/>
  <c r="I36" i="14"/>
  <c r="I37" i="14"/>
  <c r="I38" i="14"/>
  <c r="I39" i="14"/>
  <c r="I17" i="19"/>
  <c r="I18" i="19"/>
  <c r="H35" i="14"/>
  <c r="H36" i="14"/>
  <c r="H37" i="14"/>
  <c r="H38" i="14"/>
  <c r="H39" i="14"/>
  <c r="H17" i="19"/>
  <c r="H18" i="19"/>
  <c r="G35" i="14"/>
  <c r="G36" i="14"/>
  <c r="G37" i="14"/>
  <c r="G38" i="14"/>
  <c r="G39" i="14"/>
  <c r="G17" i="19"/>
  <c r="G18" i="19"/>
  <c r="G19" i="19" s="1"/>
  <c r="F35" i="14"/>
  <c r="F36" i="14"/>
  <c r="F37" i="14"/>
  <c r="F38" i="14"/>
  <c r="F39" i="14"/>
  <c r="F17" i="19"/>
  <c r="F18" i="19"/>
  <c r="E112" i="18"/>
  <c r="E115" i="18"/>
  <c r="O115" i="18"/>
  <c r="E104" i="18"/>
  <c r="F104" i="18"/>
  <c r="E105" i="18"/>
  <c r="J105" i="18"/>
  <c r="E106" i="18"/>
  <c r="E107" i="18"/>
  <c r="E96" i="18"/>
  <c r="J96" i="18"/>
  <c r="E97" i="18"/>
  <c r="F97" i="18"/>
  <c r="E99" i="18"/>
  <c r="F27" i="19"/>
  <c r="G27" i="19"/>
  <c r="H27" i="19"/>
  <c r="I27" i="19"/>
  <c r="E179" i="14"/>
  <c r="E27" i="19"/>
  <c r="E180" i="14"/>
  <c r="E181" i="14"/>
  <c r="E182" i="14"/>
  <c r="E183" i="14"/>
  <c r="E172" i="14"/>
  <c r="E173" i="14"/>
  <c r="E174" i="14"/>
  <c r="E175" i="14"/>
  <c r="E176" i="14"/>
  <c r="E156" i="14"/>
  <c r="E157" i="14"/>
  <c r="E158" i="14"/>
  <c r="E159" i="14"/>
  <c r="E160" i="14"/>
  <c r="E161" i="14"/>
  <c r="E162" i="14"/>
  <c r="E163" i="14"/>
  <c r="E165" i="14"/>
  <c r="E166" i="14"/>
  <c r="E167" i="14"/>
  <c r="E168" i="14"/>
  <c r="E169" i="14"/>
  <c r="E139" i="14"/>
  <c r="E140" i="14"/>
  <c r="E141" i="14"/>
  <c r="E142" i="14"/>
  <c r="E144" i="14"/>
  <c r="E146" i="14"/>
  <c r="E147" i="14"/>
  <c r="E149" i="14"/>
  <c r="E150" i="14"/>
  <c r="E152" i="14"/>
  <c r="E125" i="14"/>
  <c r="E126" i="14"/>
  <c r="E127" i="14"/>
  <c r="E128" i="14"/>
  <c r="E129" i="14"/>
  <c r="E130" i="14"/>
  <c r="E131" i="14"/>
  <c r="F131" i="14"/>
  <c r="G131" i="14"/>
  <c r="H131" i="14"/>
  <c r="I131" i="14"/>
  <c r="E132" i="14"/>
  <c r="E133" i="14"/>
  <c r="E134" i="14"/>
  <c r="E135" i="14"/>
  <c r="E122" i="14"/>
  <c r="I23" i="19"/>
  <c r="D27" i="19"/>
  <c r="D26" i="19"/>
  <c r="D25" i="19"/>
  <c r="D24" i="19"/>
  <c r="D18" i="19"/>
  <c r="D16" i="19"/>
  <c r="D19" i="19"/>
  <c r="E42" i="14"/>
  <c r="E18" i="19"/>
  <c r="E44" i="14"/>
  <c r="E45" i="14"/>
  <c r="E46" i="14"/>
  <c r="E35" i="14"/>
  <c r="E36" i="14"/>
  <c r="E37" i="14"/>
  <c r="E17" i="19"/>
  <c r="E38" i="14"/>
  <c r="E39" i="14"/>
  <c r="E11" i="13"/>
  <c r="E11" i="15"/>
  <c r="D11" i="19"/>
  <c r="E11" i="19"/>
  <c r="F11" i="19"/>
  <c r="G11" i="19"/>
  <c r="H11" i="19"/>
  <c r="I11" i="19"/>
  <c r="B3" i="19"/>
  <c r="B102" i="15"/>
  <c r="B133" i="18"/>
  <c r="B103" i="15"/>
  <c r="B134" i="18"/>
  <c r="B104" i="15"/>
  <c r="B135" i="18"/>
  <c r="B105" i="15"/>
  <c r="B136" i="18"/>
  <c r="B106" i="15"/>
  <c r="B137" i="18"/>
  <c r="B107" i="15"/>
  <c r="B138" i="18"/>
  <c r="B108" i="15"/>
  <c r="B139" i="18"/>
  <c r="B109" i="15"/>
  <c r="B140" i="18"/>
  <c r="B110" i="15"/>
  <c r="B141" i="18"/>
  <c r="B101" i="15"/>
  <c r="B132" i="18"/>
  <c r="G86" i="18"/>
  <c r="H86" i="18"/>
  <c r="I86" i="18"/>
  <c r="J86" i="18"/>
  <c r="K86" i="18"/>
  <c r="L86" i="18"/>
  <c r="M86" i="18"/>
  <c r="N86" i="18"/>
  <c r="O86" i="18"/>
  <c r="P86" i="18"/>
  <c r="Q86" i="18"/>
  <c r="F86" i="18"/>
  <c r="B68" i="18"/>
  <c r="F14" i="18"/>
  <c r="B44" i="13"/>
  <c r="B82" i="17"/>
  <c r="B45" i="13"/>
  <c r="B83" i="17"/>
  <c r="B46" i="13"/>
  <c r="B84" i="17"/>
  <c r="B79" i="17"/>
  <c r="B74" i="17"/>
  <c r="B75" i="17"/>
  <c r="B76" i="17"/>
  <c r="B77" i="17"/>
  <c r="B73" i="17"/>
  <c r="B72" i="17"/>
  <c r="B64" i="17"/>
  <c r="B65" i="17"/>
  <c r="B66" i="17"/>
  <c r="B67" i="17"/>
  <c r="B68" i="17"/>
  <c r="B69" i="17"/>
  <c r="B70" i="17"/>
  <c r="B63" i="17"/>
  <c r="B57" i="17"/>
  <c r="B58" i="17"/>
  <c r="B59" i="17"/>
  <c r="B60" i="17"/>
  <c r="B56" i="17"/>
  <c r="B34" i="11"/>
  <c r="B35" i="11"/>
  <c r="B36" i="11"/>
  <c r="B70" i="11"/>
  <c r="B37" i="11"/>
  <c r="B71" i="11"/>
  <c r="B115" i="17"/>
  <c r="B33" i="11"/>
  <c r="B78" i="15"/>
  <c r="B32" i="11"/>
  <c r="B26" i="11"/>
  <c r="B27" i="11"/>
  <c r="B28" i="11"/>
  <c r="B29" i="11"/>
  <c r="B63" i="11"/>
  <c r="B25" i="11"/>
  <c r="B59" i="11"/>
  <c r="B70" i="15"/>
  <c r="B24" i="11"/>
  <c r="B18" i="11"/>
  <c r="B19" i="11"/>
  <c r="B20" i="11"/>
  <c r="B21" i="11"/>
  <c r="B17" i="11"/>
  <c r="B51" i="11"/>
  <c r="B57" i="13"/>
  <c r="B62" i="15"/>
  <c r="B16" i="11"/>
  <c r="F81" i="14"/>
  <c r="G81" i="14"/>
  <c r="H81" i="14"/>
  <c r="I81" i="14"/>
  <c r="F82" i="14"/>
  <c r="G82" i="14"/>
  <c r="H82" i="14"/>
  <c r="I82" i="14"/>
  <c r="F83" i="14"/>
  <c r="G83" i="14"/>
  <c r="H83" i="14"/>
  <c r="I83" i="14"/>
  <c r="I80" i="14"/>
  <c r="H80" i="14"/>
  <c r="G80" i="14"/>
  <c r="F80" i="14"/>
  <c r="E11" i="18"/>
  <c r="E149" i="18"/>
  <c r="E24" i="10"/>
  <c r="H66" i="3"/>
  <c r="H18" i="18"/>
  <c r="L20" i="18"/>
  <c r="M18" i="18"/>
  <c r="E68" i="18"/>
  <c r="R68" i="18"/>
  <c r="R80" i="18"/>
  <c r="E103" i="18"/>
  <c r="E118" i="18"/>
  <c r="E135" i="18"/>
  <c r="E136" i="18"/>
  <c r="E137" i="18"/>
  <c r="E139" i="18"/>
  <c r="E140" i="18"/>
  <c r="E171" i="18"/>
  <c r="E172" i="18"/>
  <c r="E80" i="13"/>
  <c r="E118" i="17"/>
  <c r="F73" i="14"/>
  <c r="F61" i="14"/>
  <c r="E213" i="18"/>
  <c r="E214" i="18"/>
  <c r="E215" i="18"/>
  <c r="E216" i="18"/>
  <c r="E212" i="18"/>
  <c r="E207" i="18"/>
  <c r="E208" i="18"/>
  <c r="B212" i="18"/>
  <c r="B205" i="18"/>
  <c r="E189" i="18"/>
  <c r="E190" i="18"/>
  <c r="E191" i="18"/>
  <c r="E192" i="18"/>
  <c r="E193" i="18"/>
  <c r="E195" i="18"/>
  <c r="E198" i="18"/>
  <c r="E199" i="18"/>
  <c r="E200" i="18"/>
  <c r="E201" i="18"/>
  <c r="E202" i="18"/>
  <c r="H202" i="18"/>
  <c r="E188" i="18"/>
  <c r="E156" i="18"/>
  <c r="E158" i="18"/>
  <c r="E159" i="18"/>
  <c r="E160" i="18"/>
  <c r="E162" i="18"/>
  <c r="E163" i="18"/>
  <c r="E164" i="18"/>
  <c r="E165" i="18"/>
  <c r="B188" i="18"/>
  <c r="E173" i="18"/>
  <c r="E174" i="18"/>
  <c r="E175" i="18"/>
  <c r="E176" i="18"/>
  <c r="E177" i="18"/>
  <c r="E179" i="18"/>
  <c r="E180" i="18"/>
  <c r="E182" i="18"/>
  <c r="E183" i="18"/>
  <c r="F183" i="18"/>
  <c r="E184" i="18"/>
  <c r="E185" i="18"/>
  <c r="B171" i="18"/>
  <c r="B154" i="18"/>
  <c r="E119" i="18"/>
  <c r="E120" i="18"/>
  <c r="E121" i="18"/>
  <c r="B119" i="18"/>
  <c r="B120" i="18"/>
  <c r="B121" i="18"/>
  <c r="B118" i="18"/>
  <c r="B112" i="18"/>
  <c r="B113" i="18"/>
  <c r="B114" i="18"/>
  <c r="B115" i="18"/>
  <c r="B111" i="18"/>
  <c r="B104" i="18"/>
  <c r="B105" i="18"/>
  <c r="B106" i="18"/>
  <c r="B107" i="18"/>
  <c r="B103" i="18"/>
  <c r="B99" i="18"/>
  <c r="B96" i="18"/>
  <c r="B97" i="18"/>
  <c r="B98" i="18"/>
  <c r="B95" i="18"/>
  <c r="B82" i="18"/>
  <c r="B83" i="18"/>
  <c r="B84" i="18"/>
  <c r="B81" i="18"/>
  <c r="B80" i="18"/>
  <c r="F20" i="18"/>
  <c r="G20" i="18"/>
  <c r="H20" i="18"/>
  <c r="I20" i="18"/>
  <c r="J20" i="18"/>
  <c r="K20" i="18"/>
  <c r="M20" i="18"/>
  <c r="N20" i="18"/>
  <c r="O20" i="18"/>
  <c r="P20" i="18"/>
  <c r="Q20" i="18"/>
  <c r="E81" i="13"/>
  <c r="E82" i="13"/>
  <c r="E83" i="13"/>
  <c r="B68" i="11"/>
  <c r="B74" i="14"/>
  <c r="B69" i="11"/>
  <c r="B67" i="11"/>
  <c r="B60" i="11"/>
  <c r="B61" i="11"/>
  <c r="B62" i="11"/>
  <c r="B69" i="14"/>
  <c r="B52" i="11"/>
  <c r="B53" i="11"/>
  <c r="B54" i="11"/>
  <c r="B98" i="17"/>
  <c r="B55" i="11"/>
  <c r="E100" i="18"/>
  <c r="E76" i="15"/>
  <c r="E108" i="18"/>
  <c r="E116" i="18"/>
  <c r="B183" i="13"/>
  <c r="B221" i="17"/>
  <c r="B182" i="13"/>
  <c r="B181" i="13"/>
  <c r="B180" i="13"/>
  <c r="B218" i="17"/>
  <c r="B179" i="13"/>
  <c r="B217" i="17"/>
  <c r="B179" i="14"/>
  <c r="B176" i="13"/>
  <c r="B175" i="14"/>
  <c r="B174" i="14"/>
  <c r="B173" i="13"/>
  <c r="B211" i="17"/>
  <c r="B172" i="13"/>
  <c r="B169" i="13"/>
  <c r="B168" i="13"/>
  <c r="B167" i="13"/>
  <c r="B205" i="17"/>
  <c r="B166" i="13"/>
  <c r="B204" i="17"/>
  <c r="B165" i="13"/>
  <c r="B164" i="13"/>
  <c r="B163" i="13"/>
  <c r="B201" i="17"/>
  <c r="B162" i="13"/>
  <c r="B200" i="17"/>
  <c r="B162" i="14"/>
  <c r="B161" i="13"/>
  <c r="B160" i="13"/>
  <c r="B159" i="13"/>
  <c r="B197" i="17"/>
  <c r="B158" i="13"/>
  <c r="B196" i="17"/>
  <c r="B158" i="14"/>
  <c r="B157" i="13"/>
  <c r="B156" i="13"/>
  <c r="B155" i="13"/>
  <c r="B193" i="17"/>
  <c r="B141" i="14"/>
  <c r="B142" i="14"/>
  <c r="B143" i="14"/>
  <c r="B144" i="14"/>
  <c r="B145" i="14"/>
  <c r="B146" i="14"/>
  <c r="B149" i="14"/>
  <c r="B150" i="14"/>
  <c r="B151" i="14"/>
  <c r="B152" i="14"/>
  <c r="B140" i="14"/>
  <c r="B139" i="14"/>
  <c r="B138" i="13"/>
  <c r="B176" i="17"/>
  <c r="B122" i="14"/>
  <c r="B123" i="14"/>
  <c r="B124" i="14"/>
  <c r="B125" i="14"/>
  <c r="B126" i="14"/>
  <c r="B127" i="14"/>
  <c r="B128" i="14"/>
  <c r="B129" i="14"/>
  <c r="B130" i="14"/>
  <c r="B131" i="14"/>
  <c r="B132" i="14"/>
  <c r="B133" i="14"/>
  <c r="B134" i="14"/>
  <c r="B135" i="14"/>
  <c r="B121" i="13"/>
  <c r="B159" i="17"/>
  <c r="B45" i="14"/>
  <c r="B44" i="14"/>
  <c r="B43" i="13"/>
  <c r="B43" i="14"/>
  <c r="B81" i="17"/>
  <c r="B42" i="13"/>
  <c r="B37" i="14"/>
  <c r="B38" i="14"/>
  <c r="B39" i="14"/>
  <c r="B36" i="14"/>
  <c r="B35" i="14"/>
  <c r="B32" i="14"/>
  <c r="B31" i="14"/>
  <c r="B22" i="14"/>
  <c r="B21" i="14"/>
  <c r="E84" i="17"/>
  <c r="E83" i="17"/>
  <c r="E82" i="17"/>
  <c r="E81" i="17"/>
  <c r="E77" i="17"/>
  <c r="E76" i="17"/>
  <c r="E75" i="17"/>
  <c r="E74" i="17"/>
  <c r="E73" i="17"/>
  <c r="E70" i="17"/>
  <c r="E69" i="17"/>
  <c r="E66" i="17"/>
  <c r="E65" i="17"/>
  <c r="E64" i="17"/>
  <c r="B104" i="14"/>
  <c r="B105" i="14"/>
  <c r="B106" i="14"/>
  <c r="B142" i="17"/>
  <c r="B143" i="17"/>
  <c r="B144" i="17"/>
  <c r="B104" i="13"/>
  <c r="B105" i="13"/>
  <c r="B106" i="13"/>
  <c r="C84" i="15"/>
  <c r="C76" i="15"/>
  <c r="C68" i="15"/>
  <c r="R69" i="18"/>
  <c r="R70" i="18"/>
  <c r="R81" i="18"/>
  <c r="R82" i="18"/>
  <c r="R83" i="18"/>
  <c r="R86" i="18"/>
  <c r="R84" i="18"/>
  <c r="E69" i="18"/>
  <c r="E70" i="18"/>
  <c r="S70" i="18"/>
  <c r="E73" i="18"/>
  <c r="S73" i="18"/>
  <c r="E74" i="18"/>
  <c r="S74" i="18"/>
  <c r="E75" i="18"/>
  <c r="S75" i="18"/>
  <c r="E76" i="18"/>
  <c r="S76" i="18"/>
  <c r="E77" i="18"/>
  <c r="S77" i="18"/>
  <c r="S82" i="18"/>
  <c r="E83" i="18"/>
  <c r="S83" i="18"/>
  <c r="E84" i="18"/>
  <c r="S84" i="18"/>
  <c r="R18" i="18"/>
  <c r="F18" i="18"/>
  <c r="G18" i="18"/>
  <c r="I18" i="18"/>
  <c r="J18" i="18"/>
  <c r="K18" i="18"/>
  <c r="L18" i="18"/>
  <c r="N18" i="18"/>
  <c r="O18" i="18"/>
  <c r="P18" i="18"/>
  <c r="Q18" i="18"/>
  <c r="E18" i="18"/>
  <c r="F17" i="18"/>
  <c r="F19" i="18"/>
  <c r="G17" i="18"/>
  <c r="G19" i="18"/>
  <c r="H17" i="18"/>
  <c r="H19" i="18"/>
  <c r="I17" i="18"/>
  <c r="I19" i="18"/>
  <c r="J17" i="18"/>
  <c r="J19" i="18"/>
  <c r="K17" i="18"/>
  <c r="K19" i="18"/>
  <c r="L17" i="18"/>
  <c r="L19" i="18"/>
  <c r="M17" i="18"/>
  <c r="M19" i="18"/>
  <c r="N17" i="18"/>
  <c r="N19" i="18"/>
  <c r="O17" i="18"/>
  <c r="O19" i="18"/>
  <c r="P17" i="18"/>
  <c r="P19" i="18"/>
  <c r="Q17" i="18"/>
  <c r="Q19" i="18"/>
  <c r="E11" i="14"/>
  <c r="E91" i="14"/>
  <c r="E11" i="17"/>
  <c r="E11" i="3"/>
  <c r="D6" i="10"/>
  <c r="E78" i="18"/>
  <c r="E72" i="18"/>
  <c r="E150" i="18"/>
  <c r="E151" i="18"/>
  <c r="F151" i="18"/>
  <c r="G151" i="18"/>
  <c r="H151" i="18"/>
  <c r="I151" i="18"/>
  <c r="J151" i="18"/>
  <c r="K151" i="18"/>
  <c r="L151" i="18"/>
  <c r="M151" i="18"/>
  <c r="S151" i="18"/>
  <c r="F150" i="18"/>
  <c r="G150" i="18"/>
  <c r="H150" i="18"/>
  <c r="I150" i="18"/>
  <c r="J150" i="18"/>
  <c r="K150" i="18"/>
  <c r="L150" i="18"/>
  <c r="M150" i="18"/>
  <c r="S150" i="18"/>
  <c r="R150" i="18"/>
  <c r="Q150" i="18"/>
  <c r="P150" i="18"/>
  <c r="O150" i="18"/>
  <c r="N150" i="18"/>
  <c r="F11" i="18"/>
  <c r="F149" i="18"/>
  <c r="F10" i="18"/>
  <c r="G10" i="18"/>
  <c r="F148" i="18"/>
  <c r="E148" i="18"/>
  <c r="S92" i="18"/>
  <c r="S130" i="18"/>
  <c r="R92" i="18"/>
  <c r="R130" i="18"/>
  <c r="Q92" i="18"/>
  <c r="Q130" i="18"/>
  <c r="P92" i="18"/>
  <c r="P130" i="18"/>
  <c r="O92" i="18"/>
  <c r="O130" i="18"/>
  <c r="N92" i="18"/>
  <c r="N130" i="18"/>
  <c r="M92" i="18"/>
  <c r="M130" i="18"/>
  <c r="L92" i="18"/>
  <c r="L130" i="18"/>
  <c r="K92" i="18"/>
  <c r="K130" i="18"/>
  <c r="J92" i="18"/>
  <c r="J130" i="18"/>
  <c r="I92" i="18"/>
  <c r="I130" i="18"/>
  <c r="H92" i="18"/>
  <c r="H130" i="18"/>
  <c r="G92" i="18"/>
  <c r="G130" i="18"/>
  <c r="F92" i="18"/>
  <c r="F130" i="18"/>
  <c r="E92" i="18"/>
  <c r="E130" i="18"/>
  <c r="E91" i="18"/>
  <c r="E129" i="18"/>
  <c r="F90" i="18"/>
  <c r="F128" i="18"/>
  <c r="E90" i="18"/>
  <c r="E128" i="18"/>
  <c r="B123" i="18"/>
  <c r="B116" i="18"/>
  <c r="B102" i="18"/>
  <c r="B100" i="18"/>
  <c r="S50" i="18"/>
  <c r="R50" i="18"/>
  <c r="Q50" i="18"/>
  <c r="P50" i="18"/>
  <c r="O50" i="18"/>
  <c r="N50" i="18"/>
  <c r="M50" i="18"/>
  <c r="L50" i="18"/>
  <c r="K50" i="18"/>
  <c r="J50" i="18"/>
  <c r="I50" i="18"/>
  <c r="H50" i="18"/>
  <c r="G50" i="18"/>
  <c r="F50" i="18"/>
  <c r="E50" i="18"/>
  <c r="E48" i="18"/>
  <c r="R17" i="18"/>
  <c r="R19" i="18"/>
  <c r="E3" i="18"/>
  <c r="F10" i="17"/>
  <c r="F48" i="17"/>
  <c r="G10" i="17"/>
  <c r="G153" i="17"/>
  <c r="F11" i="17"/>
  <c r="F49" i="17"/>
  <c r="G11" i="17"/>
  <c r="F50" i="17"/>
  <c r="G50" i="17"/>
  <c r="H50" i="17"/>
  <c r="I50" i="17"/>
  <c r="J50" i="17"/>
  <c r="K50" i="17"/>
  <c r="L50" i="17"/>
  <c r="M50" i="17"/>
  <c r="N50" i="17"/>
  <c r="O50" i="17"/>
  <c r="P50" i="17"/>
  <c r="Q50" i="17"/>
  <c r="R50" i="17"/>
  <c r="S50" i="17"/>
  <c r="E49" i="17"/>
  <c r="E50" i="17"/>
  <c r="E48" i="17"/>
  <c r="R161" i="17"/>
  <c r="R162" i="17"/>
  <c r="S162" i="17" s="1"/>
  <c r="R169" i="17"/>
  <c r="R170" i="17"/>
  <c r="S170" i="17"/>
  <c r="R172" i="17"/>
  <c r="R173" i="17"/>
  <c r="S161" i="17"/>
  <c r="S169" i="17"/>
  <c r="S172" i="17"/>
  <c r="S173" i="17"/>
  <c r="E197" i="17"/>
  <c r="E198" i="17"/>
  <c r="E199" i="17"/>
  <c r="E200" i="17"/>
  <c r="E202" i="17"/>
  <c r="E203" i="17"/>
  <c r="E204" i="17"/>
  <c r="E205" i="17"/>
  <c r="E206" i="17"/>
  <c r="E207" i="17"/>
  <c r="E214" i="17"/>
  <c r="E217" i="17"/>
  <c r="E218" i="17"/>
  <c r="E219" i="17"/>
  <c r="E220" i="17"/>
  <c r="E221" i="17"/>
  <c r="E31" i="17"/>
  <c r="E59" i="17"/>
  <c r="E60" i="17"/>
  <c r="F153" i="17"/>
  <c r="F154" i="17"/>
  <c r="F155" i="17"/>
  <c r="G155" i="17"/>
  <c r="H155" i="17"/>
  <c r="I155" i="17"/>
  <c r="J155" i="17"/>
  <c r="K155" i="17"/>
  <c r="L155" i="17"/>
  <c r="M155" i="17"/>
  <c r="N155" i="17"/>
  <c r="O155" i="17"/>
  <c r="P155" i="17"/>
  <c r="Q155" i="17"/>
  <c r="R155" i="17"/>
  <c r="S155" i="17"/>
  <c r="E154" i="17"/>
  <c r="E155" i="17"/>
  <c r="E153" i="17"/>
  <c r="E121" i="17"/>
  <c r="E120" i="17"/>
  <c r="E119" i="17"/>
  <c r="F90" i="17"/>
  <c r="F128" i="17"/>
  <c r="F91" i="17"/>
  <c r="F129" i="17"/>
  <c r="G91" i="17"/>
  <c r="G129" i="17"/>
  <c r="F92" i="17"/>
  <c r="F130" i="17"/>
  <c r="G92" i="17"/>
  <c r="G130" i="17"/>
  <c r="H92" i="17"/>
  <c r="H130" i="17"/>
  <c r="I92" i="17"/>
  <c r="I130" i="17"/>
  <c r="J92" i="17"/>
  <c r="J130" i="17"/>
  <c r="K92" i="17"/>
  <c r="K130" i="17"/>
  <c r="L92" i="17"/>
  <c r="L130" i="17"/>
  <c r="M92" i="17"/>
  <c r="M130" i="17"/>
  <c r="N92" i="17"/>
  <c r="N130" i="17"/>
  <c r="O92" i="17"/>
  <c r="O130" i="17"/>
  <c r="P92" i="17"/>
  <c r="P130" i="17"/>
  <c r="Q92" i="17"/>
  <c r="Q130" i="17"/>
  <c r="R92" i="17"/>
  <c r="R130" i="17"/>
  <c r="S92" i="17"/>
  <c r="S130" i="17"/>
  <c r="E91" i="17"/>
  <c r="E129" i="17"/>
  <c r="E92" i="17"/>
  <c r="E130" i="17"/>
  <c r="E90" i="17"/>
  <c r="E128" i="17"/>
  <c r="E156" i="17"/>
  <c r="F156" i="17"/>
  <c r="G156" i="17"/>
  <c r="H156" i="17"/>
  <c r="I156" i="17"/>
  <c r="J156" i="17"/>
  <c r="K156" i="17"/>
  <c r="L156" i="17"/>
  <c r="M156" i="17"/>
  <c r="S156" i="17"/>
  <c r="B146" i="17"/>
  <c r="B145" i="17"/>
  <c r="B141" i="17"/>
  <c r="B140" i="17"/>
  <c r="B139" i="17"/>
  <c r="B138" i="17"/>
  <c r="B137" i="17"/>
  <c r="B136" i="17"/>
  <c r="B135" i="17"/>
  <c r="B134" i="17"/>
  <c r="B133" i="17"/>
  <c r="B132" i="17"/>
  <c r="B123" i="17"/>
  <c r="B121" i="17"/>
  <c r="B120" i="17"/>
  <c r="B119" i="17"/>
  <c r="B118" i="17"/>
  <c r="B116" i="17"/>
  <c r="B114" i="17"/>
  <c r="B113" i="17"/>
  <c r="B111" i="17"/>
  <c r="B110" i="17"/>
  <c r="B108" i="17"/>
  <c r="B106" i="17"/>
  <c r="B105" i="17"/>
  <c r="B104" i="17"/>
  <c r="B103" i="17"/>
  <c r="B102" i="17"/>
  <c r="B100" i="17"/>
  <c r="B99" i="17"/>
  <c r="B97" i="17"/>
  <c r="B96" i="17"/>
  <c r="B95" i="17"/>
  <c r="E3" i="17"/>
  <c r="E120" i="15"/>
  <c r="E118" i="15"/>
  <c r="B92" i="15"/>
  <c r="B84" i="15"/>
  <c r="B110" i="18"/>
  <c r="B76" i="15"/>
  <c r="B108" i="18"/>
  <c r="B68" i="15"/>
  <c r="E48" i="15"/>
  <c r="E86" i="18"/>
  <c r="E13" i="15"/>
  <c r="E3" i="15"/>
  <c r="E18" i="14"/>
  <c r="E19" i="14"/>
  <c r="E20" i="14"/>
  <c r="E21" i="14"/>
  <c r="E22" i="14"/>
  <c r="E15" i="19"/>
  <c r="E26" i="14"/>
  <c r="E27" i="14"/>
  <c r="E28" i="14"/>
  <c r="E29" i="14"/>
  <c r="E30" i="14"/>
  <c r="E31" i="14"/>
  <c r="E32" i="14"/>
  <c r="E63" i="14"/>
  <c r="E80" i="14"/>
  <c r="E81" i="14"/>
  <c r="E82" i="14"/>
  <c r="E83" i="14"/>
  <c r="E40" i="14"/>
  <c r="E41" i="14"/>
  <c r="E12" i="14"/>
  <c r="B3" i="14"/>
  <c r="E53" i="14"/>
  <c r="B108" i="14"/>
  <c r="B107" i="14"/>
  <c r="B103" i="14"/>
  <c r="B102" i="14"/>
  <c r="B101" i="14"/>
  <c r="B100" i="14"/>
  <c r="B99" i="14"/>
  <c r="B98" i="14"/>
  <c r="B97" i="14"/>
  <c r="B96" i="14"/>
  <c r="B95" i="14"/>
  <c r="B94" i="14"/>
  <c r="B85" i="14"/>
  <c r="B83" i="14"/>
  <c r="B82" i="14"/>
  <c r="B81" i="14"/>
  <c r="B80" i="14"/>
  <c r="B78" i="14"/>
  <c r="B75" i="14"/>
  <c r="B73" i="14"/>
  <c r="B72" i="14"/>
  <c r="B70" i="14"/>
  <c r="B68" i="14"/>
  <c r="B67" i="14"/>
  <c r="B66" i="14"/>
  <c r="B65" i="14"/>
  <c r="B64" i="14"/>
  <c r="B62" i="14"/>
  <c r="B61" i="14"/>
  <c r="B59" i="14"/>
  <c r="B58" i="14"/>
  <c r="B57" i="14"/>
  <c r="B56" i="14"/>
  <c r="E118" i="13"/>
  <c r="E116" i="13"/>
  <c r="E91" i="13"/>
  <c r="E53" i="13"/>
  <c r="B108" i="13"/>
  <c r="B98" i="13"/>
  <c r="B95" i="13"/>
  <c r="B96" i="13"/>
  <c r="B97" i="13"/>
  <c r="B99" i="13"/>
  <c r="B100" i="13"/>
  <c r="B101" i="13"/>
  <c r="B102" i="13"/>
  <c r="B103" i="13"/>
  <c r="B107" i="13"/>
  <c r="B94" i="13"/>
  <c r="C65" i="13"/>
  <c r="C66" i="13"/>
  <c r="C67" i="13"/>
  <c r="C68" i="13"/>
  <c r="C69" i="13"/>
  <c r="C73" i="13"/>
  <c r="C74" i="13"/>
  <c r="C75" i="13"/>
  <c r="C76" i="13"/>
  <c r="C77" i="13"/>
  <c r="C78" i="13"/>
  <c r="C58" i="13"/>
  <c r="C59" i="13"/>
  <c r="C60" i="13"/>
  <c r="C61" i="13"/>
  <c r="C62" i="13"/>
  <c r="C57" i="13"/>
  <c r="B75" i="13"/>
  <c r="B77" i="13"/>
  <c r="B78" i="13"/>
  <c r="B80" i="13"/>
  <c r="B81" i="13"/>
  <c r="B82" i="13"/>
  <c r="B83" i="13"/>
  <c r="B85" i="13"/>
  <c r="B58" i="13"/>
  <c r="B59" i="13"/>
  <c r="B61" i="13"/>
  <c r="B62" i="13"/>
  <c r="B64" i="13"/>
  <c r="B65" i="13"/>
  <c r="B66" i="13"/>
  <c r="B67" i="13"/>
  <c r="B68" i="13"/>
  <c r="B70" i="13"/>
  <c r="B72" i="13"/>
  <c r="B73" i="13"/>
  <c r="B56" i="13"/>
  <c r="E3" i="13"/>
  <c r="F11" i="3"/>
  <c r="F11" i="11"/>
  <c r="E11" i="11"/>
  <c r="E94" i="11"/>
  <c r="F94" i="11"/>
  <c r="G94" i="11"/>
  <c r="H94" i="11"/>
  <c r="I94" i="11"/>
  <c r="F53" i="3"/>
  <c r="F13" i="11"/>
  <c r="E53" i="3"/>
  <c r="G53" i="3"/>
  <c r="G13" i="11"/>
  <c r="H53" i="3"/>
  <c r="I53" i="3"/>
  <c r="I13" i="11"/>
  <c r="I12" i="11"/>
  <c r="B3" i="11"/>
  <c r="E3" i="3"/>
  <c r="I72" i="3"/>
  <c r="G66" i="3"/>
  <c r="I68" i="3"/>
  <c r="H68" i="3"/>
  <c r="G68" i="3"/>
  <c r="F68" i="3"/>
  <c r="E68" i="3"/>
  <c r="S17" i="18"/>
  <c r="E17" i="18"/>
  <c r="F57" i="14"/>
  <c r="F69" i="14"/>
  <c r="H24" i="10"/>
  <c r="H12" i="11"/>
  <c r="G12" i="11"/>
  <c r="G63" i="3"/>
  <c r="C91" i="15"/>
  <c r="B42" i="14"/>
  <c r="B80" i="17"/>
  <c r="H72" i="3"/>
  <c r="H63" i="3"/>
  <c r="G72" i="3"/>
  <c r="H31" i="3"/>
  <c r="E12" i="11"/>
  <c r="E72" i="3"/>
  <c r="E66" i="3"/>
  <c r="E19" i="18"/>
  <c r="J22" i="18"/>
  <c r="S81" i="18"/>
  <c r="Q22" i="18"/>
  <c r="P22" i="18"/>
  <c r="H22" i="18"/>
  <c r="G11" i="18"/>
  <c r="G91" i="18"/>
  <c r="G129" i="18"/>
  <c r="G48" i="18"/>
  <c r="G90" i="18"/>
  <c r="G128" i="18"/>
  <c r="E30" i="18"/>
  <c r="R20" i="18"/>
  <c r="R22" i="18"/>
  <c r="F48" i="18"/>
  <c r="G22" i="18"/>
  <c r="N22" i="18"/>
  <c r="G11" i="3"/>
  <c r="G11" i="11"/>
  <c r="I22" i="18"/>
  <c r="L22" i="18"/>
  <c r="O22" i="18"/>
  <c r="K22" i="18"/>
  <c r="F22" i="18"/>
  <c r="M22" i="18"/>
  <c r="S68" i="18"/>
  <c r="S80" i="18"/>
  <c r="S86" i="18"/>
  <c r="S69" i="18"/>
  <c r="E30" i="17"/>
  <c r="E27" i="17"/>
  <c r="F60" i="14"/>
  <c r="F59" i="14"/>
  <c r="B77" i="14"/>
  <c r="B69" i="13"/>
  <c r="B107" i="17"/>
  <c r="B60" i="13"/>
  <c r="B60" i="14"/>
  <c r="S19" i="18"/>
  <c r="E29" i="18"/>
  <c r="E20" i="18"/>
  <c r="E22" i="18"/>
  <c r="E31" i="18"/>
  <c r="E98" i="15"/>
  <c r="E28" i="18"/>
  <c r="E116" i="14"/>
  <c r="F11" i="14"/>
  <c r="F53" i="14"/>
  <c r="F116" i="14"/>
  <c r="S20" i="18"/>
  <c r="G49" i="18"/>
  <c r="H11" i="3"/>
  <c r="H11" i="11"/>
  <c r="H45" i="11"/>
  <c r="I11" i="3"/>
  <c r="I11" i="11"/>
  <c r="F67" i="14"/>
  <c r="F91" i="14"/>
  <c r="G11" i="14"/>
  <c r="H11" i="14"/>
  <c r="G53" i="14"/>
  <c r="H84" i="11"/>
  <c r="G91" i="14"/>
  <c r="G116" i="14"/>
  <c r="I55" i="3"/>
  <c r="H13" i="11"/>
  <c r="H55" i="3"/>
  <c r="F55" i="3"/>
  <c r="E13" i="11"/>
  <c r="E55" i="3"/>
  <c r="F63" i="3"/>
  <c r="F66" i="3"/>
  <c r="F31" i="3"/>
  <c r="F12" i="11"/>
  <c r="F24" i="10"/>
  <c r="F72" i="3"/>
  <c r="I66" i="3"/>
  <c r="I31" i="3"/>
  <c r="I73" i="3"/>
  <c r="I71" i="3"/>
  <c r="I24" i="10"/>
  <c r="G71" i="3"/>
  <c r="E17" i="17"/>
  <c r="E25" i="14"/>
  <c r="E71" i="3"/>
  <c r="E48" i="13"/>
  <c r="H91" i="14"/>
  <c r="I11" i="14"/>
  <c r="H116" i="14"/>
  <c r="I45" i="11"/>
  <c r="I84" i="11"/>
  <c r="F84" i="11"/>
  <c r="F45" i="11"/>
  <c r="G84" i="11"/>
  <c r="G45" i="11"/>
  <c r="H53" i="14"/>
  <c r="G28" i="14"/>
  <c r="H28" i="14"/>
  <c r="I28" i="14"/>
  <c r="F28" i="14"/>
  <c r="K73" i="17"/>
  <c r="L73" i="17"/>
  <c r="N73" i="17"/>
  <c r="G73" i="17"/>
  <c r="O73" i="17"/>
  <c r="H73" i="17"/>
  <c r="P73" i="17"/>
  <c r="M73" i="17"/>
  <c r="Q73" i="17"/>
  <c r="I73" i="17"/>
  <c r="J73" i="17"/>
  <c r="F73" i="17"/>
  <c r="E19" i="17"/>
  <c r="B219" i="17"/>
  <c r="B181" i="14"/>
  <c r="G149" i="18"/>
  <c r="E48" i="14"/>
  <c r="G206" i="17"/>
  <c r="O206" i="17"/>
  <c r="I206" i="17"/>
  <c r="Q206" i="17"/>
  <c r="J206" i="17"/>
  <c r="K206" i="17"/>
  <c r="L206" i="17"/>
  <c r="P206" i="17"/>
  <c r="F206" i="17"/>
  <c r="R206" i="17"/>
  <c r="S206" i="17"/>
  <c r="H206" i="17"/>
  <c r="N206" i="17"/>
  <c r="M206" i="17"/>
  <c r="K199" i="17"/>
  <c r="M199" i="17"/>
  <c r="H199" i="17"/>
  <c r="I199" i="17"/>
  <c r="J199" i="17"/>
  <c r="O199" i="17"/>
  <c r="F199" i="17"/>
  <c r="G199" i="17"/>
  <c r="N199" i="17"/>
  <c r="P199" i="17"/>
  <c r="Q199" i="17"/>
  <c r="L199" i="17"/>
  <c r="H10" i="18"/>
  <c r="G148" i="18"/>
  <c r="I121" i="18"/>
  <c r="Q121" i="18"/>
  <c r="L121" i="18"/>
  <c r="M121" i="18"/>
  <c r="N121" i="18"/>
  <c r="F121" i="18"/>
  <c r="R121" i="18"/>
  <c r="S121" i="18"/>
  <c r="O121" i="18"/>
  <c r="G121" i="18"/>
  <c r="P121" i="18"/>
  <c r="H121" i="18"/>
  <c r="J121" i="18"/>
  <c r="K121" i="18"/>
  <c r="I182" i="18"/>
  <c r="Q182" i="18"/>
  <c r="K182" i="18"/>
  <c r="L182" i="18"/>
  <c r="M182" i="18"/>
  <c r="F182" i="18"/>
  <c r="N182" i="18"/>
  <c r="G182" i="18"/>
  <c r="H182" i="18"/>
  <c r="J182" i="18"/>
  <c r="O182" i="18"/>
  <c r="P182" i="18"/>
  <c r="M159" i="18"/>
  <c r="G159" i="18"/>
  <c r="O159" i="18"/>
  <c r="H159" i="18"/>
  <c r="P159" i="18"/>
  <c r="I159" i="18"/>
  <c r="Q159" i="18"/>
  <c r="J159" i="18"/>
  <c r="F159" i="18"/>
  <c r="R159" i="18"/>
  <c r="S159" i="18"/>
  <c r="K159" i="18"/>
  <c r="L159" i="18"/>
  <c r="N159" i="18"/>
  <c r="L198" i="18"/>
  <c r="M198" i="18"/>
  <c r="G198" i="18"/>
  <c r="O198" i="18"/>
  <c r="I198" i="18"/>
  <c r="Q198" i="18"/>
  <c r="J198" i="18"/>
  <c r="N198" i="18"/>
  <c r="F198" i="18"/>
  <c r="K198" i="18"/>
  <c r="P198" i="18"/>
  <c r="H198" i="18"/>
  <c r="H213" i="18"/>
  <c r="P213" i="18"/>
  <c r="I213" i="18"/>
  <c r="Q213" i="18"/>
  <c r="K213" i="18"/>
  <c r="M213" i="18"/>
  <c r="F213" i="18"/>
  <c r="N213" i="18"/>
  <c r="G213" i="18"/>
  <c r="L213" i="18"/>
  <c r="O213" i="18"/>
  <c r="J213" i="18"/>
  <c r="B76" i="14"/>
  <c r="B76" i="13"/>
  <c r="B210" i="17"/>
  <c r="B172" i="14"/>
  <c r="M135" i="18"/>
  <c r="J135" i="18"/>
  <c r="O135" i="18"/>
  <c r="P135" i="18"/>
  <c r="Q135" i="18"/>
  <c r="H135" i="18"/>
  <c r="I135" i="18"/>
  <c r="K135" i="18"/>
  <c r="L135" i="18"/>
  <c r="N135" i="18"/>
  <c r="H11" i="18"/>
  <c r="F91" i="18"/>
  <c r="F129" i="18"/>
  <c r="H71" i="3"/>
  <c r="F26" i="14"/>
  <c r="G26" i="14"/>
  <c r="H26" i="14"/>
  <c r="I26" i="14"/>
  <c r="L119" i="17"/>
  <c r="M119" i="17"/>
  <c r="F119" i="17"/>
  <c r="N119" i="17"/>
  <c r="O119" i="17"/>
  <c r="P119" i="17"/>
  <c r="G119" i="17"/>
  <c r="H119" i="17"/>
  <c r="I119" i="17"/>
  <c r="J119" i="17"/>
  <c r="K119" i="17"/>
  <c r="Q119" i="17"/>
  <c r="K218" i="17"/>
  <c r="M218" i="17"/>
  <c r="F218" i="17"/>
  <c r="P218" i="17"/>
  <c r="G218" i="17"/>
  <c r="Q218" i="17"/>
  <c r="H218" i="17"/>
  <c r="L218" i="17"/>
  <c r="I218" i="17"/>
  <c r="J218" i="17"/>
  <c r="N218" i="17"/>
  <c r="O218" i="17"/>
  <c r="F49" i="18"/>
  <c r="F66" i="17"/>
  <c r="N66" i="17"/>
  <c r="I66" i="17"/>
  <c r="Q66" i="17"/>
  <c r="J66" i="17"/>
  <c r="K66" i="17"/>
  <c r="L66" i="17"/>
  <c r="M66" i="17"/>
  <c r="P66" i="17"/>
  <c r="G66" i="17"/>
  <c r="H66" i="17"/>
  <c r="O66" i="17"/>
  <c r="B202" i="17"/>
  <c r="B164" i="14"/>
  <c r="B112" i="17"/>
  <c r="B74" i="13"/>
  <c r="M120" i="18"/>
  <c r="J120" i="18"/>
  <c r="O120" i="18"/>
  <c r="F120" i="18"/>
  <c r="P120" i="18"/>
  <c r="G120" i="18"/>
  <c r="Q120" i="18"/>
  <c r="H120" i="18"/>
  <c r="I120" i="18"/>
  <c r="K120" i="18"/>
  <c r="L120" i="18"/>
  <c r="N120" i="18"/>
  <c r="I218" i="18"/>
  <c r="F218" i="18"/>
  <c r="F220" i="18" s="1"/>
  <c r="I158" i="18"/>
  <c r="Q158" i="18"/>
  <c r="K158" i="18"/>
  <c r="L158" i="18"/>
  <c r="M158" i="18"/>
  <c r="F158" i="18"/>
  <c r="N158" i="18"/>
  <c r="J158" i="18"/>
  <c r="O158" i="18"/>
  <c r="P158" i="18"/>
  <c r="G158" i="18"/>
  <c r="H158" i="18"/>
  <c r="H195" i="18"/>
  <c r="P195" i="18"/>
  <c r="I195" i="18"/>
  <c r="Q195" i="18"/>
  <c r="K195" i="18"/>
  <c r="M195" i="18"/>
  <c r="F195" i="18"/>
  <c r="R195" i="18"/>
  <c r="S195" i="18"/>
  <c r="N195" i="18"/>
  <c r="G195" i="18"/>
  <c r="L195" i="18"/>
  <c r="O195" i="18"/>
  <c r="J195" i="18"/>
  <c r="P209" i="18"/>
  <c r="I209" i="18"/>
  <c r="Q209" i="18"/>
  <c r="K209" i="18"/>
  <c r="M209" i="18"/>
  <c r="N209" i="18"/>
  <c r="J209" i="18"/>
  <c r="L209" i="18"/>
  <c r="O209" i="18"/>
  <c r="E16" i="19"/>
  <c r="E19" i="19" s="1"/>
  <c r="S18" i="18"/>
  <c r="S22" i="18"/>
  <c r="L121" i="17"/>
  <c r="M121" i="17"/>
  <c r="F121" i="17"/>
  <c r="N121" i="17"/>
  <c r="P121" i="17"/>
  <c r="Q121" i="17"/>
  <c r="H121" i="17"/>
  <c r="I121" i="17"/>
  <c r="J121" i="17"/>
  <c r="O121" i="17"/>
  <c r="G121" i="17"/>
  <c r="K121" i="17"/>
  <c r="B214" i="17"/>
  <c r="B176" i="14"/>
  <c r="E57" i="13"/>
  <c r="E95" i="17" s="1"/>
  <c r="H10" i="17"/>
  <c r="G48" i="17"/>
  <c r="E84" i="11"/>
  <c r="E45" i="11"/>
  <c r="G55" i="3"/>
  <c r="G20" i="17"/>
  <c r="G22" i="17" s="1"/>
  <c r="H86" i="17"/>
  <c r="E20" i="17"/>
  <c r="B199" i="17"/>
  <c r="B161" i="14"/>
  <c r="B206" i="17"/>
  <c r="B168" i="14"/>
  <c r="F22" i="14"/>
  <c r="G22" i="14"/>
  <c r="I22" i="14"/>
  <c r="H22" i="14"/>
  <c r="G204" i="17"/>
  <c r="O204" i="17"/>
  <c r="I204" i="17"/>
  <c r="Q204" i="17"/>
  <c r="L204" i="17"/>
  <c r="M204" i="17"/>
  <c r="N204" i="17"/>
  <c r="H204" i="17"/>
  <c r="J204" i="17"/>
  <c r="K204" i="17"/>
  <c r="F204" i="17"/>
  <c r="P204" i="17"/>
  <c r="G90" i="17"/>
  <c r="G128" i="17"/>
  <c r="G154" i="17"/>
  <c r="G49" i="17"/>
  <c r="H11" i="17"/>
  <c r="G219" i="17"/>
  <c r="O219" i="17"/>
  <c r="I219" i="17"/>
  <c r="Q219" i="17"/>
  <c r="N219" i="17"/>
  <c r="P219" i="17"/>
  <c r="F219" i="17"/>
  <c r="K219" i="17"/>
  <c r="J219" i="17"/>
  <c r="L219" i="17"/>
  <c r="M219" i="17"/>
  <c r="H219" i="17"/>
  <c r="E49" i="18"/>
  <c r="J76" i="17"/>
  <c r="K76" i="17"/>
  <c r="M76" i="17"/>
  <c r="F76" i="17"/>
  <c r="N76" i="17"/>
  <c r="G76" i="17"/>
  <c r="O76" i="17"/>
  <c r="P76" i="17"/>
  <c r="Q76" i="17"/>
  <c r="H76" i="17"/>
  <c r="I76" i="17"/>
  <c r="L76" i="17"/>
  <c r="B198" i="17"/>
  <c r="B160" i="14"/>
  <c r="F27" i="14"/>
  <c r="G27" i="14"/>
  <c r="H27" i="14"/>
  <c r="I27" i="14"/>
  <c r="K207" i="17"/>
  <c r="M207" i="17"/>
  <c r="H207" i="17"/>
  <c r="I207" i="17"/>
  <c r="J207" i="17"/>
  <c r="O207" i="17"/>
  <c r="P207" i="17"/>
  <c r="Q207" i="17"/>
  <c r="F207" i="17"/>
  <c r="G207" i="17"/>
  <c r="N207" i="17"/>
  <c r="L207" i="17"/>
  <c r="K203" i="17"/>
  <c r="M203" i="17"/>
  <c r="N203" i="17"/>
  <c r="O203" i="17"/>
  <c r="F203" i="17"/>
  <c r="P203" i="17"/>
  <c r="I203" i="17"/>
  <c r="H203" i="17"/>
  <c r="J203" i="17"/>
  <c r="L203" i="17"/>
  <c r="G203" i="17"/>
  <c r="Q203" i="17"/>
  <c r="B46" i="14"/>
  <c r="B194" i="17"/>
  <c r="B156" i="14"/>
  <c r="B169" i="14"/>
  <c r="B207" i="17"/>
  <c r="I119" i="18"/>
  <c r="Q119" i="18"/>
  <c r="F119" i="18"/>
  <c r="N119" i="18"/>
  <c r="P119" i="18"/>
  <c r="G119" i="18"/>
  <c r="H119" i="18"/>
  <c r="J119" i="18"/>
  <c r="K119" i="18"/>
  <c r="L119" i="18"/>
  <c r="M119" i="18"/>
  <c r="O119" i="18"/>
  <c r="M165" i="18"/>
  <c r="H165" i="18"/>
  <c r="P165" i="18"/>
  <c r="I165" i="18"/>
  <c r="Q165" i="18"/>
  <c r="J165" i="18"/>
  <c r="F165" i="18"/>
  <c r="G165" i="18"/>
  <c r="K165" i="18"/>
  <c r="L165" i="18"/>
  <c r="N165" i="18"/>
  <c r="O165" i="18"/>
  <c r="I156" i="18"/>
  <c r="Q156" i="18"/>
  <c r="K156" i="18"/>
  <c r="L156" i="18"/>
  <c r="M156" i="18"/>
  <c r="F156" i="18"/>
  <c r="N156" i="18"/>
  <c r="O156" i="18"/>
  <c r="P156" i="18"/>
  <c r="G156" i="18"/>
  <c r="H156" i="18"/>
  <c r="J156" i="18"/>
  <c r="H193" i="18"/>
  <c r="P193" i="18"/>
  <c r="I193" i="18"/>
  <c r="Q193" i="18"/>
  <c r="K193" i="18"/>
  <c r="M193" i="18"/>
  <c r="F193" i="18"/>
  <c r="N193" i="18"/>
  <c r="J193" i="18"/>
  <c r="O193" i="18"/>
  <c r="L193" i="18"/>
  <c r="G193" i="18"/>
  <c r="L208" i="18"/>
  <c r="M208" i="18"/>
  <c r="G208" i="18"/>
  <c r="O208" i="18"/>
  <c r="I208" i="18"/>
  <c r="Q208" i="18"/>
  <c r="J208" i="18"/>
  <c r="H208" i="18"/>
  <c r="N208" i="18"/>
  <c r="P208" i="18"/>
  <c r="F208" i="18"/>
  <c r="K208" i="18"/>
  <c r="I118" i="17"/>
  <c r="Q118" i="17"/>
  <c r="J118" i="17"/>
  <c r="F118" i="17"/>
  <c r="K118" i="17"/>
  <c r="P118" i="17"/>
  <c r="H118" i="17"/>
  <c r="L118" i="17"/>
  <c r="M118" i="17"/>
  <c r="G118" i="17"/>
  <c r="N118" i="17"/>
  <c r="O118" i="17"/>
  <c r="L172" i="18"/>
  <c r="M172" i="18"/>
  <c r="G172" i="18"/>
  <c r="O172" i="18"/>
  <c r="J172" i="18"/>
  <c r="N172" i="18"/>
  <c r="Q172" i="18"/>
  <c r="F172" i="18"/>
  <c r="R172" i="18"/>
  <c r="S172" i="18"/>
  <c r="H172" i="18"/>
  <c r="I172" i="18"/>
  <c r="K172" i="18"/>
  <c r="P172" i="18"/>
  <c r="N118" i="18"/>
  <c r="J118" i="18"/>
  <c r="K118" i="18"/>
  <c r="L118" i="18"/>
  <c r="M118" i="18"/>
  <c r="O118" i="18"/>
  <c r="G118" i="18"/>
  <c r="P118" i="18"/>
  <c r="H118" i="18"/>
  <c r="Q118" i="18"/>
  <c r="I118" i="18"/>
  <c r="F118" i="18"/>
  <c r="R118" i="18"/>
  <c r="S118" i="18"/>
  <c r="L60" i="17"/>
  <c r="M60" i="17"/>
  <c r="G60" i="17"/>
  <c r="O60" i="17"/>
  <c r="I60" i="17"/>
  <c r="Q60" i="17"/>
  <c r="J60" i="17"/>
  <c r="F60" i="17"/>
  <c r="R60" i="17"/>
  <c r="S60" i="17"/>
  <c r="H60" i="17"/>
  <c r="K60" i="17"/>
  <c r="N60" i="17"/>
  <c r="P60" i="17"/>
  <c r="L217" i="17"/>
  <c r="N217" i="17"/>
  <c r="K217" i="17"/>
  <c r="K31" i="17"/>
  <c r="M217" i="17"/>
  <c r="O217" i="17"/>
  <c r="H217" i="17"/>
  <c r="F217" i="17"/>
  <c r="Q217" i="17"/>
  <c r="G217" i="17"/>
  <c r="I217" i="17"/>
  <c r="J217" i="17"/>
  <c r="J31" i="17"/>
  <c r="P217" i="17"/>
  <c r="J84" i="17"/>
  <c r="K84" i="17"/>
  <c r="M84" i="17"/>
  <c r="F84" i="17"/>
  <c r="N84" i="17"/>
  <c r="G84" i="17"/>
  <c r="O84" i="17"/>
  <c r="H84" i="17"/>
  <c r="L84" i="17"/>
  <c r="P84" i="17"/>
  <c r="I84" i="17"/>
  <c r="Q84" i="17"/>
  <c r="B195" i="17"/>
  <c r="B157" i="14"/>
  <c r="J171" i="18"/>
  <c r="F171" i="18"/>
  <c r="L171" i="18"/>
  <c r="M171" i="18"/>
  <c r="N171" i="18"/>
  <c r="G171" i="18"/>
  <c r="O171" i="18"/>
  <c r="Q171" i="18"/>
  <c r="H171" i="18"/>
  <c r="I171" i="18"/>
  <c r="K171" i="18"/>
  <c r="P171" i="18"/>
  <c r="G32" i="14"/>
  <c r="H32" i="14"/>
  <c r="I32" i="14"/>
  <c r="F32" i="14"/>
  <c r="G21" i="14"/>
  <c r="H21" i="14"/>
  <c r="I21" i="14"/>
  <c r="F21" i="14"/>
  <c r="F59" i="17"/>
  <c r="N59" i="17"/>
  <c r="I59" i="17"/>
  <c r="Q59" i="17"/>
  <c r="O59" i="17"/>
  <c r="P59" i="17"/>
  <c r="H59" i="17"/>
  <c r="K59" i="17"/>
  <c r="L59" i="17"/>
  <c r="M59" i="17"/>
  <c r="G59" i="17"/>
  <c r="J59" i="17"/>
  <c r="G221" i="17"/>
  <c r="O221" i="17"/>
  <c r="I221" i="17"/>
  <c r="Q221" i="17"/>
  <c r="L221" i="17"/>
  <c r="M221" i="17"/>
  <c r="N221" i="17"/>
  <c r="H221" i="17"/>
  <c r="F221" i="17"/>
  <c r="R221" i="17"/>
  <c r="S221" i="17"/>
  <c r="J221" i="17"/>
  <c r="K221" i="17"/>
  <c r="P221" i="17"/>
  <c r="K214" i="17"/>
  <c r="M214" i="17"/>
  <c r="F214" i="17"/>
  <c r="P214" i="17"/>
  <c r="G214" i="17"/>
  <c r="Q214" i="17"/>
  <c r="H214" i="17"/>
  <c r="L214" i="17"/>
  <c r="N214" i="17"/>
  <c r="O214" i="17"/>
  <c r="J214" i="17"/>
  <c r="I214" i="17"/>
  <c r="F75" i="17"/>
  <c r="N75" i="17"/>
  <c r="G75" i="17"/>
  <c r="O75" i="17"/>
  <c r="I75" i="17"/>
  <c r="Q75" i="17"/>
  <c r="J75" i="17"/>
  <c r="K75" i="17"/>
  <c r="H75" i="17"/>
  <c r="L75" i="17"/>
  <c r="M75" i="17"/>
  <c r="P75" i="17"/>
  <c r="B203" i="17"/>
  <c r="B165" i="14"/>
  <c r="B220" i="17"/>
  <c r="B182" i="14"/>
  <c r="F31" i="14"/>
  <c r="H31" i="14"/>
  <c r="I31" i="14"/>
  <c r="G31" i="14"/>
  <c r="E60" i="15"/>
  <c r="H120" i="17"/>
  <c r="P120" i="17"/>
  <c r="I120" i="17"/>
  <c r="Q120" i="17"/>
  <c r="J120" i="17"/>
  <c r="N120" i="17"/>
  <c r="O120" i="17"/>
  <c r="F120" i="17"/>
  <c r="G120" i="17"/>
  <c r="K120" i="17"/>
  <c r="M120" i="17"/>
  <c r="L120" i="17"/>
  <c r="K220" i="17"/>
  <c r="M220" i="17"/>
  <c r="N220" i="17"/>
  <c r="O220" i="17"/>
  <c r="F220" i="17"/>
  <c r="P220" i="17"/>
  <c r="I220" i="17"/>
  <c r="G220" i="17"/>
  <c r="H220" i="17"/>
  <c r="J220" i="17"/>
  <c r="L220" i="17"/>
  <c r="Q220" i="17"/>
  <c r="K205" i="17"/>
  <c r="M205" i="17"/>
  <c r="J205" i="17"/>
  <c r="L205" i="17"/>
  <c r="N205" i="17"/>
  <c r="G205" i="17"/>
  <c r="Q205" i="17"/>
  <c r="F205" i="17"/>
  <c r="H205" i="17"/>
  <c r="I205" i="17"/>
  <c r="P205" i="17"/>
  <c r="O205" i="17"/>
  <c r="J69" i="17"/>
  <c r="M69" i="17"/>
  <c r="F69" i="17"/>
  <c r="N69" i="17"/>
  <c r="G69" i="17"/>
  <c r="O69" i="17"/>
  <c r="H69" i="17"/>
  <c r="I69" i="17"/>
  <c r="L69" i="17"/>
  <c r="Q69" i="17"/>
  <c r="K69" i="17"/>
  <c r="P69" i="17"/>
  <c r="B166" i="14"/>
  <c r="B183" i="14"/>
  <c r="I184" i="18"/>
  <c r="Q184" i="18"/>
  <c r="K184" i="18"/>
  <c r="L184" i="18"/>
  <c r="M184" i="18"/>
  <c r="F184" i="18"/>
  <c r="N184" i="18"/>
  <c r="G184" i="18"/>
  <c r="H184" i="18"/>
  <c r="J184" i="18"/>
  <c r="O184" i="18"/>
  <c r="P184" i="18"/>
  <c r="L174" i="18"/>
  <c r="G174" i="18"/>
  <c r="O174" i="18"/>
  <c r="M174" i="18"/>
  <c r="P174" i="18"/>
  <c r="F174" i="18"/>
  <c r="Q174" i="18"/>
  <c r="H174" i="18"/>
  <c r="I174" i="18"/>
  <c r="J174" i="18"/>
  <c r="K174" i="18"/>
  <c r="N174" i="18"/>
  <c r="L200" i="18"/>
  <c r="M200" i="18"/>
  <c r="G200" i="18"/>
  <c r="O200" i="18"/>
  <c r="I200" i="18"/>
  <c r="Q200" i="18"/>
  <c r="J200" i="18"/>
  <c r="K200" i="18"/>
  <c r="P200" i="18"/>
  <c r="F200" i="18"/>
  <c r="H200" i="18"/>
  <c r="N200" i="18"/>
  <c r="R189" i="18"/>
  <c r="S189" i="18"/>
  <c r="H215" i="18"/>
  <c r="P215" i="18"/>
  <c r="I215" i="18"/>
  <c r="Q215" i="18"/>
  <c r="K215" i="18"/>
  <c r="M215" i="18"/>
  <c r="F215" i="18"/>
  <c r="N215" i="18"/>
  <c r="J215" i="18"/>
  <c r="L215" i="18"/>
  <c r="O215" i="18"/>
  <c r="G215" i="18"/>
  <c r="G166" i="14"/>
  <c r="I166" i="14"/>
  <c r="F166" i="14"/>
  <c r="H166" i="14"/>
  <c r="H173" i="14"/>
  <c r="I173" i="14"/>
  <c r="F173" i="14"/>
  <c r="G173" i="14"/>
  <c r="K107" i="18"/>
  <c r="L107" i="18"/>
  <c r="M107" i="18"/>
  <c r="F107" i="18"/>
  <c r="N107" i="18"/>
  <c r="G107" i="18"/>
  <c r="O107" i="18"/>
  <c r="H107" i="18"/>
  <c r="P107" i="18"/>
  <c r="I107" i="18"/>
  <c r="Q107" i="18"/>
  <c r="P166" i="17"/>
  <c r="H166" i="17"/>
  <c r="N97" i="18"/>
  <c r="J74" i="17"/>
  <c r="K74" i="17"/>
  <c r="M74" i="17"/>
  <c r="F74" i="17"/>
  <c r="N74" i="17"/>
  <c r="G74" i="17"/>
  <c r="O74" i="17"/>
  <c r="Q74" i="17"/>
  <c r="I74" i="17"/>
  <c r="L74" i="17"/>
  <c r="P74" i="17"/>
  <c r="H74" i="17"/>
  <c r="B121" i="14"/>
  <c r="B138" i="14"/>
  <c r="B155" i="14"/>
  <c r="B159" i="14"/>
  <c r="B163" i="14"/>
  <c r="B167" i="14"/>
  <c r="B173" i="14"/>
  <c r="B180" i="14"/>
  <c r="M177" i="18"/>
  <c r="G177" i="18"/>
  <c r="O177" i="18"/>
  <c r="H177" i="18"/>
  <c r="P177" i="18"/>
  <c r="I177" i="18"/>
  <c r="Q177" i="18"/>
  <c r="J177" i="18"/>
  <c r="F177" i="18"/>
  <c r="K177" i="18"/>
  <c r="L177" i="18"/>
  <c r="I164" i="18"/>
  <c r="Q164" i="18"/>
  <c r="L164" i="18"/>
  <c r="M164" i="18"/>
  <c r="F164" i="18"/>
  <c r="N164" i="18"/>
  <c r="P164" i="18"/>
  <c r="G164" i="18"/>
  <c r="H164" i="18"/>
  <c r="J164" i="18"/>
  <c r="K164" i="18"/>
  <c r="L192" i="18"/>
  <c r="M192" i="18"/>
  <c r="G192" i="18"/>
  <c r="O192" i="18"/>
  <c r="I192" i="18"/>
  <c r="Q192" i="18"/>
  <c r="J192" i="18"/>
  <c r="F192" i="18"/>
  <c r="H192" i="18"/>
  <c r="K192" i="18"/>
  <c r="N192" i="18"/>
  <c r="P192" i="18"/>
  <c r="H207" i="18"/>
  <c r="P207" i="18"/>
  <c r="I207" i="18"/>
  <c r="Q207" i="18"/>
  <c r="K207" i="18"/>
  <c r="M207" i="18"/>
  <c r="F207" i="18"/>
  <c r="N207" i="18"/>
  <c r="G207" i="18"/>
  <c r="J207" i="18"/>
  <c r="L207" i="18"/>
  <c r="O207" i="18"/>
  <c r="F165" i="14"/>
  <c r="G165" i="14"/>
  <c r="H165" i="14"/>
  <c r="I165" i="14"/>
  <c r="G172" i="14"/>
  <c r="H172" i="14"/>
  <c r="I172" i="14"/>
  <c r="F172" i="14"/>
  <c r="H23" i="19"/>
  <c r="G106" i="18"/>
  <c r="O106" i="18"/>
  <c r="H106" i="18"/>
  <c r="P106" i="18"/>
  <c r="I106" i="18"/>
  <c r="Q106" i="18"/>
  <c r="J106" i="18"/>
  <c r="K106" i="18"/>
  <c r="L106" i="18"/>
  <c r="M106" i="18"/>
  <c r="F171" i="17"/>
  <c r="O166" i="17"/>
  <c r="G166" i="17"/>
  <c r="L165" i="17"/>
  <c r="Q164" i="17"/>
  <c r="I164" i="17"/>
  <c r="F163" i="17"/>
  <c r="N104" i="18"/>
  <c r="F64" i="17"/>
  <c r="N64" i="17"/>
  <c r="G64" i="17"/>
  <c r="I64" i="17"/>
  <c r="Q64" i="17"/>
  <c r="J64" i="17"/>
  <c r="K64" i="17"/>
  <c r="H64" i="17"/>
  <c r="M64" i="17"/>
  <c r="O64" i="17"/>
  <c r="P64" i="17"/>
  <c r="L64" i="17"/>
  <c r="F77" i="17"/>
  <c r="N77" i="17"/>
  <c r="G77" i="17"/>
  <c r="O77" i="17"/>
  <c r="I77" i="17"/>
  <c r="Q77" i="17"/>
  <c r="J77" i="17"/>
  <c r="K77" i="17"/>
  <c r="L77" i="17"/>
  <c r="P77" i="17"/>
  <c r="H77" i="17"/>
  <c r="M77" i="17"/>
  <c r="J82" i="17"/>
  <c r="K82" i="17"/>
  <c r="M82" i="17"/>
  <c r="F82" i="17"/>
  <c r="N82" i="17"/>
  <c r="G82" i="17"/>
  <c r="O82" i="17"/>
  <c r="H82" i="17"/>
  <c r="I82" i="17"/>
  <c r="P82" i="17"/>
  <c r="Q82" i="17"/>
  <c r="L82" i="17"/>
  <c r="M163" i="18"/>
  <c r="H163" i="18"/>
  <c r="P163" i="18"/>
  <c r="I163" i="18"/>
  <c r="Q163" i="18"/>
  <c r="J163" i="18"/>
  <c r="L163" i="18"/>
  <c r="N163" i="18"/>
  <c r="O163" i="18"/>
  <c r="F163" i="18"/>
  <c r="G163" i="18"/>
  <c r="L202" i="18"/>
  <c r="M202" i="18"/>
  <c r="G202" i="18"/>
  <c r="O202" i="18"/>
  <c r="J202" i="18"/>
  <c r="F202" i="18"/>
  <c r="I202" i="18"/>
  <c r="K202" i="18"/>
  <c r="N202" i="18"/>
  <c r="P202" i="18"/>
  <c r="Q202" i="18"/>
  <c r="H191" i="18"/>
  <c r="P191" i="18"/>
  <c r="I191" i="18"/>
  <c r="Q191" i="18"/>
  <c r="K191" i="18"/>
  <c r="M191" i="18"/>
  <c r="F191" i="18"/>
  <c r="N191" i="18"/>
  <c r="L191" i="18"/>
  <c r="G191" i="18"/>
  <c r="J191" i="18"/>
  <c r="O191" i="18"/>
  <c r="I212" i="18"/>
  <c r="Q212" i="18"/>
  <c r="J212" i="18"/>
  <c r="F212" i="18"/>
  <c r="L212" i="18"/>
  <c r="N212" i="18"/>
  <c r="G212" i="18"/>
  <c r="O212" i="18"/>
  <c r="H212" i="18"/>
  <c r="K212" i="18"/>
  <c r="M212" i="18"/>
  <c r="P212" i="18"/>
  <c r="M137" i="18"/>
  <c r="J137" i="18"/>
  <c r="L137" i="18"/>
  <c r="N137" i="18"/>
  <c r="O137" i="18"/>
  <c r="P137" i="18"/>
  <c r="Q137" i="18"/>
  <c r="H137" i="18"/>
  <c r="I137" i="18"/>
  <c r="H103" i="18"/>
  <c r="P103" i="18"/>
  <c r="I103" i="18"/>
  <c r="Q103" i="18"/>
  <c r="J103" i="18"/>
  <c r="F103" i="18"/>
  <c r="K103" i="18"/>
  <c r="L103" i="18"/>
  <c r="M103" i="18"/>
  <c r="N103" i="18"/>
  <c r="G23" i="19"/>
  <c r="K105" i="18"/>
  <c r="L105" i="18"/>
  <c r="M105" i="18"/>
  <c r="F105" i="18"/>
  <c r="N105" i="18"/>
  <c r="G105" i="18"/>
  <c r="O105" i="18"/>
  <c r="H105" i="18"/>
  <c r="P105" i="18"/>
  <c r="I105" i="18"/>
  <c r="Q105" i="18"/>
  <c r="N166" i="17"/>
  <c r="F166" i="17"/>
  <c r="K165" i="17"/>
  <c r="P164" i="17"/>
  <c r="H164" i="17"/>
  <c r="L160" i="17"/>
  <c r="K137" i="18"/>
  <c r="O164" i="18"/>
  <c r="J67" i="17"/>
  <c r="M67" i="17"/>
  <c r="F67" i="17"/>
  <c r="N67" i="17"/>
  <c r="G67" i="17"/>
  <c r="O67" i="17"/>
  <c r="P67" i="17"/>
  <c r="Q67" i="17"/>
  <c r="I67" i="17"/>
  <c r="K67" i="17"/>
  <c r="H67" i="17"/>
  <c r="L67" i="17"/>
  <c r="F70" i="17"/>
  <c r="N70" i="17"/>
  <c r="I70" i="17"/>
  <c r="Q70" i="17"/>
  <c r="J70" i="17"/>
  <c r="K70" i="17"/>
  <c r="L70" i="17"/>
  <c r="M70" i="17"/>
  <c r="P70" i="17"/>
  <c r="G70" i="17"/>
  <c r="H70" i="17"/>
  <c r="O70" i="17"/>
  <c r="M185" i="18"/>
  <c r="G185" i="18"/>
  <c r="O185" i="18"/>
  <c r="H185" i="18"/>
  <c r="P185" i="18"/>
  <c r="I185" i="18"/>
  <c r="Q185" i="18"/>
  <c r="J185" i="18"/>
  <c r="F185" i="18"/>
  <c r="K185" i="18"/>
  <c r="L185" i="18"/>
  <c r="N185" i="18"/>
  <c r="H175" i="18"/>
  <c r="P175" i="18"/>
  <c r="K175" i="18"/>
  <c r="L175" i="18"/>
  <c r="N175" i="18"/>
  <c r="O175" i="18"/>
  <c r="F175" i="18"/>
  <c r="Q175" i="18"/>
  <c r="G175" i="18"/>
  <c r="I175" i="18"/>
  <c r="J175" i="18"/>
  <c r="M175" i="18"/>
  <c r="I162" i="18"/>
  <c r="Q162" i="18"/>
  <c r="K162" i="18"/>
  <c r="L162" i="18"/>
  <c r="M162" i="18"/>
  <c r="F162" i="18"/>
  <c r="N162" i="18"/>
  <c r="G162" i="18"/>
  <c r="H162" i="18"/>
  <c r="J162" i="18"/>
  <c r="O162" i="18"/>
  <c r="P162" i="18"/>
  <c r="H201" i="18"/>
  <c r="P201" i="18"/>
  <c r="I201" i="18"/>
  <c r="Q201" i="18"/>
  <c r="K201" i="18"/>
  <c r="F201" i="18"/>
  <c r="R201" i="18"/>
  <c r="S201" i="18"/>
  <c r="N201" i="18"/>
  <c r="G201" i="18"/>
  <c r="J201" i="18"/>
  <c r="L201" i="18"/>
  <c r="M201" i="18"/>
  <c r="O201" i="18"/>
  <c r="L190" i="18"/>
  <c r="M190" i="18"/>
  <c r="G190" i="18"/>
  <c r="O190" i="18"/>
  <c r="I190" i="18"/>
  <c r="Q190" i="18"/>
  <c r="J190" i="18"/>
  <c r="H190" i="18"/>
  <c r="K190" i="18"/>
  <c r="N190" i="18"/>
  <c r="P190" i="18"/>
  <c r="F190" i="18"/>
  <c r="L216" i="18"/>
  <c r="M216" i="18"/>
  <c r="G216" i="18"/>
  <c r="O216" i="18"/>
  <c r="I216" i="18"/>
  <c r="Q216" i="18"/>
  <c r="J216" i="18"/>
  <c r="N216" i="18"/>
  <c r="F216" i="18"/>
  <c r="H216" i="18"/>
  <c r="K216" i="18"/>
  <c r="P216" i="18"/>
  <c r="E58" i="13"/>
  <c r="E68" i="13"/>
  <c r="E59" i="13"/>
  <c r="E69" i="13"/>
  <c r="E60" i="13"/>
  <c r="E61" i="13"/>
  <c r="E66" i="13"/>
  <c r="E104" i="17" s="1"/>
  <c r="E76" i="13"/>
  <c r="E114" i="17" s="1"/>
  <c r="F23" i="19"/>
  <c r="G104" i="18"/>
  <c r="O104" i="18"/>
  <c r="H104" i="18"/>
  <c r="P104" i="18"/>
  <c r="I104" i="18"/>
  <c r="Q104" i="18"/>
  <c r="J104" i="18"/>
  <c r="K104" i="18"/>
  <c r="L104" i="18"/>
  <c r="M104" i="18"/>
  <c r="G80" i="17"/>
  <c r="O80" i="17"/>
  <c r="H80" i="17"/>
  <c r="P80" i="17"/>
  <c r="J80" i="17"/>
  <c r="F80" i="17"/>
  <c r="K80" i="17"/>
  <c r="L80" i="17"/>
  <c r="I80" i="17"/>
  <c r="M80" i="17"/>
  <c r="N80" i="17"/>
  <c r="Q80" i="17"/>
  <c r="L196" i="18"/>
  <c r="M196" i="18"/>
  <c r="G196" i="18"/>
  <c r="O196" i="18"/>
  <c r="I196" i="18"/>
  <c r="Q196" i="18"/>
  <c r="J196" i="18"/>
  <c r="P196" i="18"/>
  <c r="F196" i="18"/>
  <c r="H196" i="18"/>
  <c r="K196" i="18"/>
  <c r="N196" i="18"/>
  <c r="O103" i="18"/>
  <c r="O108" i="18"/>
  <c r="K163" i="18"/>
  <c r="E23" i="19"/>
  <c r="E26" i="19"/>
  <c r="G99" i="18"/>
  <c r="O99" i="18"/>
  <c r="H99" i="18"/>
  <c r="P99" i="18"/>
  <c r="I99" i="18"/>
  <c r="Q99" i="18"/>
  <c r="J99" i="18"/>
  <c r="K99" i="18"/>
  <c r="L99" i="18"/>
  <c r="M99" i="18"/>
  <c r="M115" i="18"/>
  <c r="G115" i="18"/>
  <c r="P115" i="18"/>
  <c r="H115" i="18"/>
  <c r="Q115" i="18"/>
  <c r="I115" i="18"/>
  <c r="J115" i="18"/>
  <c r="K115" i="18"/>
  <c r="L115" i="18"/>
  <c r="N115" i="18"/>
  <c r="K171" i="17"/>
  <c r="L166" i="17"/>
  <c r="Q165" i="17"/>
  <c r="I165" i="17"/>
  <c r="N164" i="17"/>
  <c r="F164" i="17"/>
  <c r="K27" i="17"/>
  <c r="J160" i="17"/>
  <c r="E77" i="13"/>
  <c r="K188" i="17"/>
  <c r="M188" i="17"/>
  <c r="N188" i="17"/>
  <c r="O188" i="17"/>
  <c r="F188" i="17"/>
  <c r="P188" i="17"/>
  <c r="I188" i="17"/>
  <c r="H188" i="17"/>
  <c r="J188" i="17"/>
  <c r="L188" i="17"/>
  <c r="G188" i="17"/>
  <c r="Q188" i="17"/>
  <c r="G103" i="18"/>
  <c r="G108" i="18"/>
  <c r="F115" i="18"/>
  <c r="J65" i="17"/>
  <c r="M65" i="17"/>
  <c r="F65" i="17"/>
  <c r="N65" i="17"/>
  <c r="G65" i="17"/>
  <c r="O65" i="17"/>
  <c r="H65" i="17"/>
  <c r="I65" i="17"/>
  <c r="L65" i="17"/>
  <c r="Q65" i="17"/>
  <c r="K65" i="17"/>
  <c r="P65" i="17"/>
  <c r="F83" i="17"/>
  <c r="N83" i="17"/>
  <c r="G83" i="17"/>
  <c r="O83" i="17"/>
  <c r="I83" i="17"/>
  <c r="Q83" i="17"/>
  <c r="J83" i="17"/>
  <c r="K83" i="17"/>
  <c r="L83" i="17"/>
  <c r="M83" i="17"/>
  <c r="P83" i="17"/>
  <c r="H83" i="17"/>
  <c r="M183" i="18"/>
  <c r="G183" i="18"/>
  <c r="R183" i="18"/>
  <c r="S183" i="18"/>
  <c r="O183" i="18"/>
  <c r="H183" i="18"/>
  <c r="P183" i="18"/>
  <c r="I183" i="18"/>
  <c r="Q183" i="18"/>
  <c r="J183" i="18"/>
  <c r="K183" i="18"/>
  <c r="L183" i="18"/>
  <c r="N183" i="18"/>
  <c r="H173" i="18"/>
  <c r="P173" i="18"/>
  <c r="I173" i="18"/>
  <c r="K173" i="18"/>
  <c r="N173" i="18"/>
  <c r="Q173" i="18"/>
  <c r="F173" i="18"/>
  <c r="G173" i="18"/>
  <c r="J173" i="18"/>
  <c r="O173" i="18"/>
  <c r="L173" i="18"/>
  <c r="H199" i="18"/>
  <c r="P199" i="18"/>
  <c r="I199" i="18"/>
  <c r="Q199" i="18"/>
  <c r="K199" i="18"/>
  <c r="M199" i="18"/>
  <c r="F199" i="18"/>
  <c r="N199" i="18"/>
  <c r="G199" i="18"/>
  <c r="J199" i="18"/>
  <c r="L199" i="18"/>
  <c r="O199" i="18"/>
  <c r="L214" i="18"/>
  <c r="M214" i="18"/>
  <c r="G214" i="18"/>
  <c r="O214" i="18"/>
  <c r="I214" i="18"/>
  <c r="Q214" i="18"/>
  <c r="J214" i="18"/>
  <c r="P214" i="18"/>
  <c r="F214" i="18"/>
  <c r="H214" i="18"/>
  <c r="K214" i="18"/>
  <c r="N214" i="18"/>
  <c r="F169" i="14"/>
  <c r="G169" i="14"/>
  <c r="H169" i="14"/>
  <c r="I169" i="14"/>
  <c r="G176" i="14"/>
  <c r="H176" i="14"/>
  <c r="I176" i="14"/>
  <c r="F176" i="14"/>
  <c r="I112" i="18"/>
  <c r="Q112" i="18"/>
  <c r="F112" i="18"/>
  <c r="O112" i="18"/>
  <c r="G112" i="18"/>
  <c r="P112" i="18"/>
  <c r="H112" i="18"/>
  <c r="J112" i="18"/>
  <c r="K112" i="18"/>
  <c r="L112" i="18"/>
  <c r="M112" i="18"/>
  <c r="R167" i="17"/>
  <c r="S167" i="17"/>
  <c r="K166" i="17"/>
  <c r="P165" i="17"/>
  <c r="H165" i="17"/>
  <c r="E75" i="13"/>
  <c r="K184" i="17"/>
  <c r="M184" i="17"/>
  <c r="H184" i="17"/>
  <c r="I184" i="17"/>
  <c r="J184" i="17"/>
  <c r="O184" i="17"/>
  <c r="F184" i="17"/>
  <c r="G184" i="17"/>
  <c r="N184" i="17"/>
  <c r="P184" i="17"/>
  <c r="Q184" i="17"/>
  <c r="L184" i="17"/>
  <c r="M113" i="18"/>
  <c r="L113" i="18"/>
  <c r="N113" i="18"/>
  <c r="F113" i="18"/>
  <c r="R113" i="18"/>
  <c r="S113" i="18"/>
  <c r="O113" i="18"/>
  <c r="G113" i="18"/>
  <c r="P113" i="18"/>
  <c r="H113" i="18"/>
  <c r="Q113" i="18"/>
  <c r="I113" i="18"/>
  <c r="J113" i="18"/>
  <c r="N99" i="18"/>
  <c r="J107" i="18"/>
  <c r="N177" i="18"/>
  <c r="G168" i="14"/>
  <c r="I168" i="14"/>
  <c r="F168" i="14"/>
  <c r="H168" i="14"/>
  <c r="G175" i="14"/>
  <c r="H175" i="14"/>
  <c r="F175" i="14"/>
  <c r="I175" i="14"/>
  <c r="G97" i="18"/>
  <c r="O97" i="18"/>
  <c r="H97" i="18"/>
  <c r="P97" i="18"/>
  <c r="I97" i="18"/>
  <c r="Q97" i="18"/>
  <c r="J97" i="18"/>
  <c r="K97" i="18"/>
  <c r="L97" i="18"/>
  <c r="M97" i="18"/>
  <c r="J166" i="17"/>
  <c r="O165" i="17"/>
  <c r="G165" i="17"/>
  <c r="E74" i="13"/>
  <c r="Q218" i="18"/>
  <c r="M27" i="18"/>
  <c r="O218" i="18"/>
  <c r="I30" i="18"/>
  <c r="F99" i="18"/>
  <c r="R99" i="18"/>
  <c r="S99" i="18"/>
  <c r="N106" i="18"/>
  <c r="K113" i="18"/>
  <c r="F167" i="14"/>
  <c r="H167" i="14"/>
  <c r="I167" i="14"/>
  <c r="G167" i="14"/>
  <c r="G174" i="14"/>
  <c r="H174" i="14"/>
  <c r="I174" i="14"/>
  <c r="F174" i="14"/>
  <c r="K96" i="18"/>
  <c r="L96" i="18"/>
  <c r="M96" i="18"/>
  <c r="M100" i="18"/>
  <c r="F96" i="18"/>
  <c r="N96" i="18"/>
  <c r="N100" i="18"/>
  <c r="G96" i="18"/>
  <c r="O96" i="18"/>
  <c r="H96" i="18"/>
  <c r="H100" i="18"/>
  <c r="P96" i="18"/>
  <c r="P100" i="18"/>
  <c r="I96" i="18"/>
  <c r="I100" i="18"/>
  <c r="Q96" i="18"/>
  <c r="P171" i="17"/>
  <c r="Q166" i="17"/>
  <c r="N165" i="17"/>
  <c r="O160" i="17"/>
  <c r="E67" i="13"/>
  <c r="F106" i="18"/>
  <c r="R106" i="18"/>
  <c r="S106" i="18"/>
  <c r="N112" i="18"/>
  <c r="M173" i="18"/>
  <c r="K186" i="17"/>
  <c r="M186" i="17"/>
  <c r="F186" i="17"/>
  <c r="P186" i="17"/>
  <c r="G186" i="17"/>
  <c r="Q186" i="17"/>
  <c r="H186" i="17"/>
  <c r="L186" i="17"/>
  <c r="J186" i="17"/>
  <c r="N186" i="17"/>
  <c r="O186" i="17"/>
  <c r="I186" i="17"/>
  <c r="K201" i="17"/>
  <c r="M201" i="17"/>
  <c r="F201" i="17"/>
  <c r="P201" i="17"/>
  <c r="G201" i="17"/>
  <c r="Q201" i="17"/>
  <c r="H201" i="17"/>
  <c r="L201" i="17"/>
  <c r="J201" i="17"/>
  <c r="N201" i="17"/>
  <c r="O201" i="17"/>
  <c r="I201" i="17"/>
  <c r="O100" i="18"/>
  <c r="G100" i="18"/>
  <c r="L194" i="18"/>
  <c r="M194" i="18"/>
  <c r="G194" i="18"/>
  <c r="O194" i="18"/>
  <c r="I194" i="18"/>
  <c r="Q194" i="18"/>
  <c r="J194" i="18"/>
  <c r="F194" i="18"/>
  <c r="H194" i="18"/>
  <c r="K194" i="18"/>
  <c r="K111" i="18"/>
  <c r="P114" i="18"/>
  <c r="R177" i="17"/>
  <c r="S177" i="17"/>
  <c r="G185" i="17"/>
  <c r="O185" i="17"/>
  <c r="I185" i="17"/>
  <c r="Q185" i="17"/>
  <c r="F185" i="17"/>
  <c r="H185" i="17"/>
  <c r="J185" i="17"/>
  <c r="M185" i="17"/>
  <c r="N185" i="17"/>
  <c r="P185" i="17"/>
  <c r="K185" i="17"/>
  <c r="L185" i="17"/>
  <c r="I114" i="18"/>
  <c r="Q114" i="18"/>
  <c r="M30" i="18"/>
  <c r="N30" i="18"/>
  <c r="H30" i="18"/>
  <c r="P30" i="18"/>
  <c r="J30" i="18"/>
  <c r="K30" i="18"/>
  <c r="L30" i="18"/>
  <c r="O30" i="18"/>
  <c r="Q30" i="18"/>
  <c r="J111" i="18"/>
  <c r="O114" i="18"/>
  <c r="F114" i="18"/>
  <c r="H111" i="18"/>
  <c r="H116" i="18"/>
  <c r="N114" i="18"/>
  <c r="G213" i="17"/>
  <c r="O213" i="17"/>
  <c r="I213" i="17"/>
  <c r="Q213" i="17"/>
  <c r="F213" i="17"/>
  <c r="H213" i="17"/>
  <c r="J213" i="17"/>
  <c r="M213" i="17"/>
  <c r="L213" i="17"/>
  <c r="N213" i="17"/>
  <c r="P213" i="17"/>
  <c r="K213" i="17"/>
  <c r="L100" i="18"/>
  <c r="Q111" i="18"/>
  <c r="Q116" i="18"/>
  <c r="G111" i="18"/>
  <c r="G116" i="18"/>
  <c r="M114" i="18"/>
  <c r="G179" i="17"/>
  <c r="O179" i="17"/>
  <c r="I179" i="17"/>
  <c r="Q179" i="17"/>
  <c r="N179" i="17"/>
  <c r="P179" i="17"/>
  <c r="F179" i="17"/>
  <c r="K179" i="17"/>
  <c r="J179" i="17"/>
  <c r="L179" i="17"/>
  <c r="M179" i="17"/>
  <c r="H179" i="17"/>
  <c r="K100" i="18"/>
  <c r="P111" i="18"/>
  <c r="P116" i="18"/>
  <c r="F111" i="18"/>
  <c r="L114" i="18"/>
  <c r="R157" i="18"/>
  <c r="S157" i="18"/>
  <c r="P194" i="18"/>
  <c r="G189" i="17"/>
  <c r="I189" i="17"/>
  <c r="L189" i="17"/>
  <c r="M189" i="17"/>
  <c r="N189" i="17"/>
  <c r="H189" i="17"/>
  <c r="Q189" i="17"/>
  <c r="J189" i="17"/>
  <c r="K189" i="17"/>
  <c r="P189" i="17"/>
  <c r="F189" i="17"/>
  <c r="O189" i="17"/>
  <c r="J100" i="18"/>
  <c r="O111" i="18"/>
  <c r="O116" i="18"/>
  <c r="K114" i="18"/>
  <c r="R155" i="18"/>
  <c r="S155" i="18"/>
  <c r="N194" i="18"/>
  <c r="G196" i="17"/>
  <c r="O196" i="17"/>
  <c r="I196" i="17"/>
  <c r="Q196" i="17"/>
  <c r="L196" i="17"/>
  <c r="M196" i="17"/>
  <c r="N196" i="17"/>
  <c r="H196" i="17"/>
  <c r="F196" i="17"/>
  <c r="J196" i="17"/>
  <c r="K196" i="17"/>
  <c r="P196" i="17"/>
  <c r="R196" i="17"/>
  <c r="S196" i="17"/>
  <c r="Q100" i="18"/>
  <c r="N111" i="18"/>
  <c r="N116" i="18"/>
  <c r="J114" i="18"/>
  <c r="F71" i="3"/>
  <c r="I74" i="3"/>
  <c r="R213" i="17"/>
  <c r="S213" i="17"/>
  <c r="K30" i="17"/>
  <c r="H30" i="17"/>
  <c r="R185" i="17"/>
  <c r="S185" i="17"/>
  <c r="R134" i="18"/>
  <c r="S134" i="18" s="1"/>
  <c r="L28" i="17"/>
  <c r="M28" i="17"/>
  <c r="P27" i="17"/>
  <c r="E113" i="17"/>
  <c r="E75" i="14"/>
  <c r="R83" i="17"/>
  <c r="S83" i="17"/>
  <c r="Q20" i="17"/>
  <c r="P20" i="17"/>
  <c r="E99" i="17"/>
  <c r="E61" i="14"/>
  <c r="R162" i="18"/>
  <c r="S162" i="18"/>
  <c r="R103" i="18"/>
  <c r="F108" i="18"/>
  <c r="L31" i="18"/>
  <c r="L29" i="18"/>
  <c r="R174" i="18"/>
  <c r="S174" i="18"/>
  <c r="K86" i="17"/>
  <c r="K17" i="17"/>
  <c r="R56" i="17"/>
  <c r="F17" i="17"/>
  <c r="F86" i="17"/>
  <c r="Q28" i="18"/>
  <c r="H31" i="17"/>
  <c r="R119" i="18"/>
  <c r="S119" i="18"/>
  <c r="R203" i="17"/>
  <c r="S203" i="17"/>
  <c r="R207" i="17"/>
  <c r="S207" i="17"/>
  <c r="R68" i="17"/>
  <c r="H18" i="17"/>
  <c r="R219" i="17"/>
  <c r="S219" i="17"/>
  <c r="H15" i="19"/>
  <c r="H48" i="14"/>
  <c r="R140" i="18"/>
  <c r="S140" i="18" s="1"/>
  <c r="R213" i="18"/>
  <c r="S213" i="18"/>
  <c r="R199" i="17"/>
  <c r="S199" i="17"/>
  <c r="J19" i="17"/>
  <c r="N19" i="17"/>
  <c r="R212" i="17"/>
  <c r="S212" i="17"/>
  <c r="R168" i="18"/>
  <c r="S168" i="18"/>
  <c r="L30" i="17"/>
  <c r="K28" i="17"/>
  <c r="R206" i="18"/>
  <c r="S206" i="18"/>
  <c r="R160" i="18"/>
  <c r="S160" i="18"/>
  <c r="R160" i="17"/>
  <c r="S160" i="17"/>
  <c r="N20" i="17"/>
  <c r="R104" i="18"/>
  <c r="S104" i="18"/>
  <c r="E98" i="17"/>
  <c r="E60" i="14"/>
  <c r="R216" i="18"/>
  <c r="S216" i="18"/>
  <c r="R70" i="17"/>
  <c r="S70" i="17"/>
  <c r="J108" i="18"/>
  <c r="P31" i="18"/>
  <c r="R212" i="18"/>
  <c r="F31" i="18"/>
  <c r="R77" i="17"/>
  <c r="S77" i="17"/>
  <c r="R139" i="18"/>
  <c r="S139" i="18" s="1"/>
  <c r="R192" i="18"/>
  <c r="S192" i="18"/>
  <c r="M29" i="18"/>
  <c r="R188" i="18"/>
  <c r="R197" i="17"/>
  <c r="S197" i="17" s="1"/>
  <c r="H17" i="17"/>
  <c r="J17" i="17"/>
  <c r="J86" i="17"/>
  <c r="O28" i="18"/>
  <c r="R198" i="17"/>
  <c r="S198" i="17" s="1"/>
  <c r="O31" i="17"/>
  <c r="R156" i="18"/>
  <c r="S156" i="18"/>
  <c r="M18" i="17"/>
  <c r="O18" i="17"/>
  <c r="R76" i="17"/>
  <c r="S76" i="17"/>
  <c r="H154" i="17"/>
  <c r="H91" i="17"/>
  <c r="H129" i="17"/>
  <c r="H49" i="17"/>
  <c r="I11" i="17"/>
  <c r="R121" i="17"/>
  <c r="S121" i="17"/>
  <c r="R218" i="17"/>
  <c r="S218" i="17"/>
  <c r="I19" i="17"/>
  <c r="L19" i="17"/>
  <c r="J123" i="18"/>
  <c r="F116" i="18"/>
  <c r="R111" i="18"/>
  <c r="R187" i="17"/>
  <c r="S187" i="17"/>
  <c r="R178" i="17"/>
  <c r="S178" i="17"/>
  <c r="G30" i="17"/>
  <c r="R186" i="17"/>
  <c r="S186" i="17"/>
  <c r="I28" i="17"/>
  <c r="M116" i="18"/>
  <c r="R112" i="18"/>
  <c r="S112" i="18"/>
  <c r="R65" i="17"/>
  <c r="S65" i="17"/>
  <c r="R168" i="17"/>
  <c r="S168" i="17"/>
  <c r="M20" i="17"/>
  <c r="M22" i="17" s="1"/>
  <c r="O20" i="17"/>
  <c r="R136" i="18"/>
  <c r="S136" i="18" s="1"/>
  <c r="E107" i="17"/>
  <c r="E69" i="14"/>
  <c r="R190" i="18"/>
  <c r="S190" i="18"/>
  <c r="Q108" i="18"/>
  <c r="Q123" i="18"/>
  <c r="M31" i="18"/>
  <c r="J31" i="18"/>
  <c r="R191" i="18"/>
  <c r="S191" i="18"/>
  <c r="R82" i="17"/>
  <c r="S82" i="17"/>
  <c r="R211" i="17"/>
  <c r="S211" i="17"/>
  <c r="F26" i="19"/>
  <c r="H29" i="18"/>
  <c r="J29" i="18"/>
  <c r="R177" i="18"/>
  <c r="S177" i="18"/>
  <c r="P86" i="17"/>
  <c r="P17" i="17"/>
  <c r="Q86" i="17"/>
  <c r="R84" i="17"/>
  <c r="S84" i="17"/>
  <c r="P31" i="17"/>
  <c r="M31" i="17"/>
  <c r="I18" i="17"/>
  <c r="G18" i="17"/>
  <c r="H90" i="17"/>
  <c r="H128" i="17"/>
  <c r="H48" i="17"/>
  <c r="H153" i="17"/>
  <c r="I10" i="17"/>
  <c r="G16" i="19"/>
  <c r="R120" i="18"/>
  <c r="S120" i="18"/>
  <c r="H149" i="18"/>
  <c r="H49" i="18"/>
  <c r="H91" i="18"/>
  <c r="H129" i="18"/>
  <c r="I11" i="18"/>
  <c r="I10" i="18"/>
  <c r="H148" i="18"/>
  <c r="H48" i="18"/>
  <c r="H90" i="18"/>
  <c r="H128" i="18"/>
  <c r="Q19" i="17"/>
  <c r="K19" i="17"/>
  <c r="R95" i="18"/>
  <c r="F100" i="18"/>
  <c r="F123" i="18"/>
  <c r="R181" i="17"/>
  <c r="S181" i="17" s="1"/>
  <c r="R154" i="18"/>
  <c r="R179" i="17"/>
  <c r="S179" i="17"/>
  <c r="Q30" i="17"/>
  <c r="G123" i="18"/>
  <c r="R176" i="17"/>
  <c r="R97" i="18"/>
  <c r="S97" i="18"/>
  <c r="R180" i="17"/>
  <c r="S180" i="17"/>
  <c r="L116" i="18"/>
  <c r="R173" i="18"/>
  <c r="S173" i="18"/>
  <c r="R164" i="17"/>
  <c r="S164" i="17"/>
  <c r="I20" i="17"/>
  <c r="E97" i="17"/>
  <c r="E59" i="14"/>
  <c r="R175" i="18"/>
  <c r="S175" i="18"/>
  <c r="R67" i="17"/>
  <c r="S67" i="17"/>
  <c r="R183" i="17"/>
  <c r="R166" i="17"/>
  <c r="S166" i="17"/>
  <c r="I108" i="18"/>
  <c r="R137" i="18"/>
  <c r="S137" i="18"/>
  <c r="K31" i="18"/>
  <c r="Q31" i="18"/>
  <c r="I26" i="19"/>
  <c r="P29" i="18"/>
  <c r="Q29" i="18"/>
  <c r="R164" i="18"/>
  <c r="S164" i="18"/>
  <c r="R74" i="17"/>
  <c r="S74" i="17"/>
  <c r="M17" i="17"/>
  <c r="M86" i="17"/>
  <c r="I17" i="17"/>
  <c r="I86" i="17"/>
  <c r="N28" i="18"/>
  <c r="R118" i="17"/>
  <c r="S118" i="17"/>
  <c r="L18" i="17"/>
  <c r="N18" i="17"/>
  <c r="F16" i="19"/>
  <c r="F19" i="19" s="1"/>
  <c r="R209" i="18"/>
  <c r="S209" i="18"/>
  <c r="R135" i="18"/>
  <c r="S135" i="18"/>
  <c r="R198" i="18"/>
  <c r="S198" i="18"/>
  <c r="M19" i="17"/>
  <c r="R178" i="18"/>
  <c r="S178" i="18"/>
  <c r="O30" i="17"/>
  <c r="K116" i="18"/>
  <c r="K123" i="18"/>
  <c r="O123" i="18"/>
  <c r="J28" i="17"/>
  <c r="N123" i="18"/>
  <c r="E112" i="17"/>
  <c r="E74" i="14"/>
  <c r="E141" i="18"/>
  <c r="E133" i="18"/>
  <c r="E123" i="18"/>
  <c r="D21" i="19"/>
  <c r="I116" i="18"/>
  <c r="I123" i="18"/>
  <c r="R98" i="18"/>
  <c r="S98" i="18"/>
  <c r="E115" i="17"/>
  <c r="E77" i="14"/>
  <c r="L20" i="17"/>
  <c r="E106" i="17"/>
  <c r="E68" i="14"/>
  <c r="N108" i="18"/>
  <c r="P108" i="18"/>
  <c r="P123" i="18"/>
  <c r="H31" i="18"/>
  <c r="I31" i="18"/>
  <c r="R176" i="18"/>
  <c r="S176" i="18"/>
  <c r="R171" i="17"/>
  <c r="S171" i="17"/>
  <c r="H26" i="19"/>
  <c r="N29" i="18"/>
  <c r="I29" i="18"/>
  <c r="E65" i="13"/>
  <c r="R200" i="18"/>
  <c r="S200" i="18"/>
  <c r="R184" i="18"/>
  <c r="S184" i="18"/>
  <c r="O17" i="17"/>
  <c r="O86" i="17"/>
  <c r="P28" i="18"/>
  <c r="M28" i="18"/>
  <c r="I31" i="17"/>
  <c r="N31" i="17"/>
  <c r="R208" i="18"/>
  <c r="S208" i="18"/>
  <c r="R193" i="18"/>
  <c r="S193" i="18"/>
  <c r="R165" i="18"/>
  <c r="S165" i="18"/>
  <c r="J18" i="17"/>
  <c r="K18" i="17"/>
  <c r="E57" i="14"/>
  <c r="I16" i="19"/>
  <c r="R158" i="18"/>
  <c r="S158" i="18"/>
  <c r="R167" i="18"/>
  <c r="S167" i="18"/>
  <c r="P19" i="17"/>
  <c r="R181" i="18"/>
  <c r="S181" i="18"/>
  <c r="R189" i="17"/>
  <c r="S189" i="17"/>
  <c r="R190" i="17"/>
  <c r="S190" i="17" s="1"/>
  <c r="R114" i="18"/>
  <c r="S114" i="18"/>
  <c r="R205" i="18"/>
  <c r="I30" i="17"/>
  <c r="F30" i="17"/>
  <c r="R210" i="17"/>
  <c r="Q28" i="17"/>
  <c r="O28" i="17"/>
  <c r="E105" i="17"/>
  <c r="E67" i="14"/>
  <c r="R96" i="18"/>
  <c r="S96" i="18"/>
  <c r="R199" i="18"/>
  <c r="S199" i="18"/>
  <c r="R115" i="18"/>
  <c r="S115" i="18"/>
  <c r="K20" i="17"/>
  <c r="E96" i="17"/>
  <c r="E58" i="14"/>
  <c r="R185" i="18"/>
  <c r="S185" i="18"/>
  <c r="M108" i="18"/>
  <c r="M123" i="18"/>
  <c r="H108" i="18"/>
  <c r="H123" i="18"/>
  <c r="O31" i="18"/>
  <c r="R163" i="18"/>
  <c r="S163" i="18"/>
  <c r="R64" i="17"/>
  <c r="S64" i="17"/>
  <c r="F27" i="17"/>
  <c r="R159" i="17"/>
  <c r="G26" i="19"/>
  <c r="K29" i="18"/>
  <c r="R69" i="17"/>
  <c r="S69" i="17"/>
  <c r="R220" i="17"/>
  <c r="S220" i="17"/>
  <c r="R214" i="17"/>
  <c r="S214" i="17"/>
  <c r="G17" i="17"/>
  <c r="K28" i="18"/>
  <c r="L28" i="18"/>
  <c r="G31" i="17"/>
  <c r="L31" i="17"/>
  <c r="R179" i="18"/>
  <c r="S179" i="18"/>
  <c r="R63" i="17"/>
  <c r="F18" i="17"/>
  <c r="G15" i="19"/>
  <c r="G48" i="14"/>
  <c r="R204" i="17"/>
  <c r="S204" i="17"/>
  <c r="H16" i="19"/>
  <c r="H19" i="17"/>
  <c r="R182" i="17"/>
  <c r="S182" i="17"/>
  <c r="N30" i="17"/>
  <c r="J30" i="17"/>
  <c r="R201" i="17"/>
  <c r="S201" i="17"/>
  <c r="P28" i="17"/>
  <c r="G28" i="17"/>
  <c r="R80" i="17"/>
  <c r="F20" i="17"/>
  <c r="L108" i="18"/>
  <c r="L123" i="18"/>
  <c r="G31" i="18"/>
  <c r="R202" i="18"/>
  <c r="S202" i="18"/>
  <c r="R207" i="18"/>
  <c r="S207" i="18"/>
  <c r="O29" i="18"/>
  <c r="R107" i="18"/>
  <c r="S107" i="18"/>
  <c r="R205" i="17"/>
  <c r="S205" i="17"/>
  <c r="R120" i="17"/>
  <c r="S120" i="17"/>
  <c r="N17" i="17"/>
  <c r="N86" i="17"/>
  <c r="R171" i="18"/>
  <c r="Q31" i="17"/>
  <c r="Q18" i="17"/>
  <c r="R200" i="17"/>
  <c r="S200" i="17" s="1"/>
  <c r="F15" i="19"/>
  <c r="F48" i="14"/>
  <c r="R66" i="17"/>
  <c r="S66" i="17"/>
  <c r="R119" i="17"/>
  <c r="S119" i="17"/>
  <c r="O19" i="17"/>
  <c r="I116" i="14"/>
  <c r="I91" i="14"/>
  <c r="I53" i="14"/>
  <c r="R197" i="18"/>
  <c r="S197" i="18" s="1"/>
  <c r="S29" i="18" s="1"/>
  <c r="J116" i="18"/>
  <c r="M30" i="17"/>
  <c r="P30" i="17"/>
  <c r="R194" i="18"/>
  <c r="S194" i="18"/>
  <c r="H28" i="17"/>
  <c r="N28" i="17"/>
  <c r="R138" i="18"/>
  <c r="S138" i="18"/>
  <c r="R165" i="17"/>
  <c r="S165" i="17"/>
  <c r="R214" i="18"/>
  <c r="S214" i="18"/>
  <c r="R188" i="17"/>
  <c r="S188" i="17"/>
  <c r="R196" i="18"/>
  <c r="S196" i="18"/>
  <c r="J20" i="17"/>
  <c r="R57" i="17"/>
  <c r="S57" i="17"/>
  <c r="E73" i="13"/>
  <c r="R105" i="18"/>
  <c r="S105" i="18"/>
  <c r="K108" i="18"/>
  <c r="N31" i="18"/>
  <c r="R58" i="17"/>
  <c r="S58" i="17" s="1"/>
  <c r="R215" i="18"/>
  <c r="S215" i="18"/>
  <c r="R75" i="17"/>
  <c r="S75" i="17"/>
  <c r="R59" i="17"/>
  <c r="S59" i="17"/>
  <c r="L86" i="17"/>
  <c r="L17" i="17"/>
  <c r="H28" i="18"/>
  <c r="J28" i="18"/>
  <c r="F31" i="17"/>
  <c r="R217" i="17"/>
  <c r="P18" i="17"/>
  <c r="I15" i="19"/>
  <c r="I48" i="14"/>
  <c r="R182" i="18"/>
  <c r="S182" i="18"/>
  <c r="R73" i="17"/>
  <c r="F19" i="17"/>
  <c r="G19" i="17"/>
  <c r="I19" i="19"/>
  <c r="I25" i="18"/>
  <c r="Q25" i="18"/>
  <c r="H25" i="18"/>
  <c r="P25" i="18"/>
  <c r="L25" i="18"/>
  <c r="M25" i="18"/>
  <c r="K25" i="18"/>
  <c r="R19" i="17"/>
  <c r="S73" i="17"/>
  <c r="S19" i="17"/>
  <c r="J25" i="18"/>
  <c r="S56" i="17"/>
  <c r="N22" i="17"/>
  <c r="S80" i="17"/>
  <c r="O22" i="17"/>
  <c r="F97" i="17"/>
  <c r="N97" i="17"/>
  <c r="G97" i="17"/>
  <c r="O97" i="17"/>
  <c r="I97" i="17"/>
  <c r="Q97" i="17"/>
  <c r="J97" i="17"/>
  <c r="K97" i="17"/>
  <c r="L97" i="17"/>
  <c r="M97" i="17"/>
  <c r="H97" i="17"/>
  <c r="P97" i="17"/>
  <c r="P22" i="17"/>
  <c r="S188" i="18"/>
  <c r="H112" i="17"/>
  <c r="P112" i="17"/>
  <c r="I112" i="17"/>
  <c r="Q112" i="17"/>
  <c r="J112" i="17"/>
  <c r="M112" i="17"/>
  <c r="F112" i="17"/>
  <c r="G112" i="17"/>
  <c r="L112" i="17"/>
  <c r="N112" i="17"/>
  <c r="O112" i="17"/>
  <c r="K112" i="17"/>
  <c r="S205" i="18"/>
  <c r="S30" i="18"/>
  <c r="R30" i="18"/>
  <c r="R30" i="17"/>
  <c r="S210" i="17"/>
  <c r="S30" i="17"/>
  <c r="S154" i="18"/>
  <c r="F99" i="17"/>
  <c r="N99" i="17"/>
  <c r="G99" i="17"/>
  <c r="O99" i="17"/>
  <c r="I99" i="17"/>
  <c r="Q99" i="17"/>
  <c r="J99" i="17"/>
  <c r="K99" i="17"/>
  <c r="P99" i="17"/>
  <c r="H99" i="17"/>
  <c r="L99" i="17"/>
  <c r="M99" i="17"/>
  <c r="S171" i="18"/>
  <c r="E103" i="17"/>
  <c r="K103" i="17" s="1"/>
  <c r="E65" i="14"/>
  <c r="N25" i="18"/>
  <c r="S176" i="17"/>
  <c r="J22" i="17"/>
  <c r="E111" i="17"/>
  <c r="E73" i="14"/>
  <c r="S159" i="17"/>
  <c r="I48" i="17"/>
  <c r="J10" i="17"/>
  <c r="I153" i="17"/>
  <c r="I90" i="17"/>
  <c r="I128" i="17"/>
  <c r="S111" i="18"/>
  <c r="S116" i="18"/>
  <c r="R116" i="18"/>
  <c r="J11" i="18"/>
  <c r="I49" i="18"/>
  <c r="I91" i="18"/>
  <c r="I129" i="18"/>
  <c r="I149" i="18"/>
  <c r="P98" i="17"/>
  <c r="P96" i="17"/>
  <c r="E25" i="18"/>
  <c r="R31" i="17"/>
  <c r="S217" i="17"/>
  <c r="S31" i="17"/>
  <c r="R18" i="17"/>
  <c r="S63" i="17"/>
  <c r="O25" i="18"/>
  <c r="J10" i="18"/>
  <c r="I48" i="18"/>
  <c r="I148" i="18"/>
  <c r="I90" i="18"/>
  <c r="I128" i="18"/>
  <c r="J11" i="17"/>
  <c r="I49" i="17"/>
  <c r="I154" i="17"/>
  <c r="I91" i="17"/>
  <c r="I129" i="17"/>
  <c r="J98" i="17"/>
  <c r="K98" i="17"/>
  <c r="M98" i="17"/>
  <c r="F98" i="17"/>
  <c r="N98" i="17"/>
  <c r="G98" i="17"/>
  <c r="O98" i="17"/>
  <c r="H98" i="17"/>
  <c r="I98" i="17"/>
  <c r="L98" i="17"/>
  <c r="Q98" i="17"/>
  <c r="F22" i="17"/>
  <c r="S103" i="18"/>
  <c r="S108" i="18"/>
  <c r="R108" i="18"/>
  <c r="E132" i="18"/>
  <c r="H107" i="17"/>
  <c r="J107" i="17"/>
  <c r="K107" i="17"/>
  <c r="M107" i="17"/>
  <c r="N107" i="17"/>
  <c r="F107" i="17"/>
  <c r="G107" i="17"/>
  <c r="I107" i="17"/>
  <c r="L107" i="17"/>
  <c r="O107" i="17"/>
  <c r="P107" i="17"/>
  <c r="Q107" i="17"/>
  <c r="R107" i="17"/>
  <c r="S107" i="17"/>
  <c r="J96" i="17"/>
  <c r="K96" i="17"/>
  <c r="M96" i="17"/>
  <c r="F96" i="17"/>
  <c r="N96" i="17"/>
  <c r="G96" i="17"/>
  <c r="O96" i="17"/>
  <c r="I96" i="17"/>
  <c r="L96" i="17"/>
  <c r="Q96" i="17"/>
  <c r="H96" i="17"/>
  <c r="H105" i="17"/>
  <c r="P105" i="17"/>
  <c r="I105" i="17"/>
  <c r="Q105" i="17"/>
  <c r="N105" i="17"/>
  <c r="O105" i="17"/>
  <c r="G105" i="17"/>
  <c r="J105" i="17"/>
  <c r="K105" i="17"/>
  <c r="L105" i="17"/>
  <c r="M105" i="17"/>
  <c r="F105" i="17"/>
  <c r="R105" i="17"/>
  <c r="S105" i="17"/>
  <c r="L106" i="17"/>
  <c r="M106" i="17"/>
  <c r="N106" i="17"/>
  <c r="G106" i="17"/>
  <c r="P106" i="17"/>
  <c r="H106" i="17"/>
  <c r="Q106" i="17"/>
  <c r="I106" i="17"/>
  <c r="F106" i="17"/>
  <c r="J106" i="17"/>
  <c r="O106" i="17"/>
  <c r="K106" i="17"/>
  <c r="L115" i="17"/>
  <c r="M115" i="17"/>
  <c r="F115" i="17"/>
  <c r="N115" i="17"/>
  <c r="K115" i="17"/>
  <c r="O115" i="17"/>
  <c r="Q115" i="17"/>
  <c r="G115" i="17"/>
  <c r="H115" i="17"/>
  <c r="I115" i="17"/>
  <c r="P115" i="17"/>
  <c r="J115" i="17"/>
  <c r="M141" i="18"/>
  <c r="J141" i="18"/>
  <c r="Q141" i="18"/>
  <c r="H141" i="18"/>
  <c r="I141" i="18"/>
  <c r="K141" i="18"/>
  <c r="L141" i="18"/>
  <c r="N141" i="18"/>
  <c r="O141" i="18"/>
  <c r="F141" i="18"/>
  <c r="P141" i="18"/>
  <c r="R100" i="18"/>
  <c r="S95" i="18"/>
  <c r="S100" i="18"/>
  <c r="S123" i="18"/>
  <c r="S212" i="18"/>
  <c r="S31" i="18"/>
  <c r="R31" i="18"/>
  <c r="H19" i="19"/>
  <c r="L113" i="17"/>
  <c r="M113" i="17"/>
  <c r="F113" i="17"/>
  <c r="N113" i="17"/>
  <c r="I113" i="17"/>
  <c r="J113" i="17"/>
  <c r="K113" i="17"/>
  <c r="P113" i="17"/>
  <c r="Q113" i="17"/>
  <c r="G113" i="17"/>
  <c r="H113" i="17"/>
  <c r="O113" i="17"/>
  <c r="R141" i="18"/>
  <c r="S141" i="18"/>
  <c r="H99" i="14"/>
  <c r="R97" i="17"/>
  <c r="S97" i="17"/>
  <c r="R99" i="17"/>
  <c r="S99" i="17"/>
  <c r="R96" i="17"/>
  <c r="S96" i="17"/>
  <c r="J91" i="17"/>
  <c r="J129" i="17"/>
  <c r="J49" i="17"/>
  <c r="J154" i="17"/>
  <c r="K11" i="17"/>
  <c r="R133" i="18"/>
  <c r="S133" i="18" s="1"/>
  <c r="E107" i="13"/>
  <c r="E108" i="13"/>
  <c r="E104" i="13"/>
  <c r="E105" i="13"/>
  <c r="E99" i="13"/>
  <c r="E106" i="13"/>
  <c r="S25" i="18"/>
  <c r="R98" i="17"/>
  <c r="S98" i="17"/>
  <c r="K11" i="18"/>
  <c r="J49" i="18"/>
  <c r="J149" i="18"/>
  <c r="J91" i="18"/>
  <c r="J129" i="18"/>
  <c r="R113" i="17"/>
  <c r="S113" i="17"/>
  <c r="R106" i="17"/>
  <c r="S106" i="17"/>
  <c r="D22" i="19"/>
  <c r="M111" i="17"/>
  <c r="J90" i="17"/>
  <c r="J128" i="17"/>
  <c r="J153" i="17"/>
  <c r="J48" i="17"/>
  <c r="K10" i="17"/>
  <c r="I111" i="17"/>
  <c r="Q111" i="17"/>
  <c r="J111" i="17"/>
  <c r="F111" i="17"/>
  <c r="K111" i="17"/>
  <c r="N111" i="17"/>
  <c r="O111" i="17"/>
  <c r="G111" i="17"/>
  <c r="H111" i="17"/>
  <c r="P111" i="17"/>
  <c r="L111" i="17"/>
  <c r="R123" i="18"/>
  <c r="R115" i="17"/>
  <c r="S115" i="17"/>
  <c r="N143" i="18"/>
  <c r="N26" i="18" s="1"/>
  <c r="G143" i="18"/>
  <c r="O143" i="18"/>
  <c r="O26" i="18" s="1"/>
  <c r="H143" i="18"/>
  <c r="H26" i="18" s="1"/>
  <c r="P143" i="18"/>
  <c r="P26" i="18" s="1"/>
  <c r="I143" i="18"/>
  <c r="I26" i="18" s="1"/>
  <c r="Q143" i="18"/>
  <c r="K143" i="18"/>
  <c r="K26" i="18" s="1"/>
  <c r="L143" i="18"/>
  <c r="L26" i="18" s="1"/>
  <c r="J143" i="18"/>
  <c r="J26" i="18" s="1"/>
  <c r="M143" i="18"/>
  <c r="M26" i="18" s="1"/>
  <c r="E143" i="18"/>
  <c r="G99" i="14"/>
  <c r="R112" i="17"/>
  <c r="S112" i="17"/>
  <c r="J90" i="18"/>
  <c r="J128" i="18"/>
  <c r="J148" i="18"/>
  <c r="J48" i="18"/>
  <c r="K10" i="18"/>
  <c r="E26" i="18"/>
  <c r="L10" i="17"/>
  <c r="K48" i="17"/>
  <c r="K153" i="17"/>
  <c r="K90" i="17"/>
  <c r="K128" i="17"/>
  <c r="E143" i="17"/>
  <c r="E105" i="14"/>
  <c r="K49" i="17"/>
  <c r="L11" i="17"/>
  <c r="K154" i="17"/>
  <c r="K91" i="17"/>
  <c r="K129" i="17"/>
  <c r="R25" i="18"/>
  <c r="K149" i="18"/>
  <c r="K49" i="18"/>
  <c r="L11" i="18"/>
  <c r="K91" i="18"/>
  <c r="K129" i="18"/>
  <c r="E145" i="17"/>
  <c r="E107" i="14"/>
  <c r="E142" i="17"/>
  <c r="E104" i="14"/>
  <c r="R111" i="17"/>
  <c r="I99" i="14"/>
  <c r="E146" i="17"/>
  <c r="E108" i="14"/>
  <c r="Q26" i="18"/>
  <c r="E137" i="17"/>
  <c r="E99" i="14"/>
  <c r="K48" i="18"/>
  <c r="L10" i="18"/>
  <c r="K90" i="18"/>
  <c r="K128" i="18"/>
  <c r="K148" i="18"/>
  <c r="F143" i="18"/>
  <c r="R132" i="18"/>
  <c r="S132" i="18" s="1"/>
  <c r="E144" i="17"/>
  <c r="E106" i="14"/>
  <c r="L48" i="18"/>
  <c r="L148" i="18"/>
  <c r="M10" i="18"/>
  <c r="L90" i="18"/>
  <c r="L128" i="18"/>
  <c r="J137" i="17"/>
  <c r="K137" i="17"/>
  <c r="L137" i="17"/>
  <c r="M137" i="17"/>
  <c r="O137" i="17"/>
  <c r="P137" i="17"/>
  <c r="Q137" i="17"/>
  <c r="F137" i="17"/>
  <c r="G137" i="17"/>
  <c r="H137" i="17"/>
  <c r="I137" i="17"/>
  <c r="N137" i="17"/>
  <c r="S111" i="17"/>
  <c r="L90" i="17"/>
  <c r="L128" i="17"/>
  <c r="L48" i="17"/>
  <c r="L153" i="17"/>
  <c r="M10" i="17"/>
  <c r="L91" i="17"/>
  <c r="L129" i="17"/>
  <c r="L49" i="17"/>
  <c r="M11" i="17"/>
  <c r="L154" i="17"/>
  <c r="H145" i="17"/>
  <c r="P145" i="17"/>
  <c r="I145" i="17"/>
  <c r="Q145" i="17"/>
  <c r="J145" i="17"/>
  <c r="K145" i="17"/>
  <c r="L145" i="17"/>
  <c r="M145" i="17"/>
  <c r="F145" i="17"/>
  <c r="N145" i="17"/>
  <c r="G145" i="17"/>
  <c r="O145" i="17"/>
  <c r="F144" i="17"/>
  <c r="N144" i="17"/>
  <c r="G144" i="17"/>
  <c r="O144" i="17"/>
  <c r="H144" i="17"/>
  <c r="P144" i="17"/>
  <c r="I144" i="17"/>
  <c r="Q144" i="17"/>
  <c r="J144" i="17"/>
  <c r="K144" i="17"/>
  <c r="L144" i="17"/>
  <c r="M144" i="17"/>
  <c r="J146" i="17"/>
  <c r="K146" i="17"/>
  <c r="L146" i="17"/>
  <c r="M146" i="17"/>
  <c r="F146" i="17"/>
  <c r="N146" i="17"/>
  <c r="G146" i="17"/>
  <c r="O146" i="17"/>
  <c r="H146" i="17"/>
  <c r="P146" i="17"/>
  <c r="I146" i="17"/>
  <c r="Q146" i="17"/>
  <c r="L143" i="17"/>
  <c r="M143" i="17"/>
  <c r="F143" i="17"/>
  <c r="N143" i="17"/>
  <c r="G143" i="17"/>
  <c r="O143" i="17"/>
  <c r="H143" i="17"/>
  <c r="P143" i="17"/>
  <c r="I143" i="17"/>
  <c r="Q143" i="17"/>
  <c r="J143" i="17"/>
  <c r="K143" i="17"/>
  <c r="J142" i="17"/>
  <c r="K142" i="17"/>
  <c r="L142" i="17"/>
  <c r="M142" i="17"/>
  <c r="F142" i="17"/>
  <c r="N142" i="17"/>
  <c r="G142" i="17"/>
  <c r="O142" i="17"/>
  <c r="H142" i="17"/>
  <c r="P142" i="17"/>
  <c r="I142" i="17"/>
  <c r="Q142" i="17"/>
  <c r="L149" i="18"/>
  <c r="L91" i="18"/>
  <c r="L129" i="18"/>
  <c r="L49" i="18"/>
  <c r="M11" i="18"/>
  <c r="R142" i="17"/>
  <c r="S142" i="17"/>
  <c r="R144" i="17"/>
  <c r="S144" i="17"/>
  <c r="R143" i="17"/>
  <c r="S143" i="17"/>
  <c r="N11" i="17"/>
  <c r="M49" i="17"/>
  <c r="M154" i="17"/>
  <c r="M91" i="17"/>
  <c r="M129" i="17"/>
  <c r="R137" i="17"/>
  <c r="S137" i="17"/>
  <c r="M90" i="18"/>
  <c r="M128" i="18"/>
  <c r="M48" i="18"/>
  <c r="N10" i="18"/>
  <c r="M148" i="18"/>
  <c r="M49" i="18"/>
  <c r="N11" i="18"/>
  <c r="M91" i="18"/>
  <c r="M129" i="18"/>
  <c r="M149" i="18"/>
  <c r="M153" i="17"/>
  <c r="M48" i="17"/>
  <c r="N10" i="17"/>
  <c r="M90" i="17"/>
  <c r="M128" i="17"/>
  <c r="R146" i="17"/>
  <c r="S146" i="17"/>
  <c r="R145" i="17"/>
  <c r="S145" i="17"/>
  <c r="O11" i="18"/>
  <c r="N49" i="18"/>
  <c r="N91" i="18"/>
  <c r="N129" i="18"/>
  <c r="N149" i="18"/>
  <c r="N91" i="17"/>
  <c r="N129" i="17"/>
  <c r="N49" i="17"/>
  <c r="N154" i="17"/>
  <c r="O11" i="17"/>
  <c r="N48" i="18"/>
  <c r="O10" i="18"/>
  <c r="N90" i="18"/>
  <c r="N128" i="18"/>
  <c r="N148" i="18"/>
  <c r="N153" i="17"/>
  <c r="N90" i="17"/>
  <c r="N128" i="17"/>
  <c r="N48" i="17"/>
  <c r="O10" i="17"/>
  <c r="O154" i="17"/>
  <c r="O49" i="17"/>
  <c r="P11" i="17"/>
  <c r="O91" i="17"/>
  <c r="O129" i="17"/>
  <c r="P11" i="18"/>
  <c r="O149" i="18"/>
  <c r="O91" i="18"/>
  <c r="O129" i="18"/>
  <c r="O49" i="18"/>
  <c r="P10" i="18"/>
  <c r="O148" i="18"/>
  <c r="O48" i="18"/>
  <c r="O90" i="18"/>
  <c r="O128" i="18"/>
  <c r="P10" i="17"/>
  <c r="O48" i="17"/>
  <c r="O153" i="17"/>
  <c r="O90" i="17"/>
  <c r="O128" i="17"/>
  <c r="P91" i="18"/>
  <c r="P129" i="18"/>
  <c r="Q11" i="18"/>
  <c r="P149" i="18"/>
  <c r="P49" i="18"/>
  <c r="P154" i="17"/>
  <c r="P91" i="17"/>
  <c r="P129" i="17"/>
  <c r="Q11" i="17"/>
  <c r="P49" i="17"/>
  <c r="P90" i="17"/>
  <c r="P128" i="17"/>
  <c r="P48" i="17"/>
  <c r="P153" i="17"/>
  <c r="Q10" i="17"/>
  <c r="P148" i="18"/>
  <c r="P90" i="18"/>
  <c r="P128" i="18"/>
  <c r="Q10" i="18"/>
  <c r="P48" i="18"/>
  <c r="R11" i="18"/>
  <c r="Q149" i="18"/>
  <c r="Q91" i="18"/>
  <c r="Q129" i="18"/>
  <c r="Q49" i="18"/>
  <c r="R11" i="17"/>
  <c r="Q49" i="17"/>
  <c r="Q154" i="17"/>
  <c r="Q91" i="17"/>
  <c r="Q129" i="17"/>
  <c r="Q90" i="18"/>
  <c r="Q128" i="18"/>
  <c r="Q48" i="18"/>
  <c r="R10" i="18"/>
  <c r="Q148" i="18"/>
  <c r="Q48" i="17"/>
  <c r="R10" i="17"/>
  <c r="Q153" i="17"/>
  <c r="Q90" i="17"/>
  <c r="Q128" i="17"/>
  <c r="S11" i="18"/>
  <c r="R49" i="18"/>
  <c r="R91" i="18"/>
  <c r="R129" i="18"/>
  <c r="R149" i="18"/>
  <c r="R90" i="17"/>
  <c r="R128" i="17"/>
  <c r="R48" i="17"/>
  <c r="R153" i="17"/>
  <c r="S10" i="17"/>
  <c r="R91" i="17"/>
  <c r="R129" i="17"/>
  <c r="R49" i="17"/>
  <c r="R154" i="17"/>
  <c r="S11" i="17"/>
  <c r="R148" i="18"/>
  <c r="S10" i="18"/>
  <c r="R48" i="18"/>
  <c r="R90" i="18"/>
  <c r="R128" i="18"/>
  <c r="S48" i="17"/>
  <c r="S90" i="17"/>
  <c r="S128" i="17"/>
  <c r="S153" i="17"/>
  <c r="S90" i="18"/>
  <c r="S128" i="18"/>
  <c r="S48" i="18"/>
  <c r="S148" i="18"/>
  <c r="S49" i="17"/>
  <c r="S154" i="17"/>
  <c r="S91" i="17"/>
  <c r="S129" i="17"/>
  <c r="S149" i="18"/>
  <c r="S49" i="18"/>
  <c r="S91" i="18"/>
  <c r="S129" i="18"/>
  <c r="F99" i="14"/>
  <c r="E161" i="18"/>
  <c r="D23" i="19"/>
  <c r="E218" i="18"/>
  <c r="E220" i="18" s="1"/>
  <c r="E27" i="18"/>
  <c r="P27" i="18"/>
  <c r="P218" i="18"/>
  <c r="H27" i="18"/>
  <c r="L27" i="18"/>
  <c r="L218" i="18"/>
  <c r="N27" i="18"/>
  <c r="N218" i="18"/>
  <c r="J218" i="18"/>
  <c r="J27" i="18"/>
  <c r="R161" i="18"/>
  <c r="F33" i="18"/>
  <c r="F35" i="18"/>
  <c r="F43" i="18"/>
  <c r="G14" i="18"/>
  <c r="K218" i="18"/>
  <c r="K27" i="18"/>
  <c r="I27" i="18"/>
  <c r="G33" i="18"/>
  <c r="G35" i="18"/>
  <c r="G43" i="18"/>
  <c r="H14" i="18"/>
  <c r="S161" i="18"/>
  <c r="F28" i="17" l="1"/>
  <c r="L22" i="17"/>
  <c r="K22" i="17"/>
  <c r="R184" i="17"/>
  <c r="O27" i="17"/>
  <c r="L27" i="17"/>
  <c r="M27" i="17"/>
  <c r="J27" i="17"/>
  <c r="I27" i="17"/>
  <c r="Q27" i="17"/>
  <c r="H27" i="17"/>
  <c r="D28" i="19"/>
  <c r="D30" i="19" s="1"/>
  <c r="D32" i="19" s="1"/>
  <c r="E13" i="19" s="1"/>
  <c r="F70" i="11"/>
  <c r="F76" i="14" s="1"/>
  <c r="F60" i="11"/>
  <c r="F66" i="14" s="1"/>
  <c r="F62" i="11"/>
  <c r="F68" i="14" s="1"/>
  <c r="F71" i="11"/>
  <c r="F77" i="14" s="1"/>
  <c r="F69" i="11"/>
  <c r="F75" i="14" s="1"/>
  <c r="F68" i="11"/>
  <c r="F74" i="14" s="1"/>
  <c r="G70" i="11"/>
  <c r="G76" i="14" s="1"/>
  <c r="G62" i="11"/>
  <c r="G68" i="14" s="1"/>
  <c r="G52" i="11"/>
  <c r="G58" i="14" s="1"/>
  <c r="G63" i="11"/>
  <c r="G69" i="14" s="1"/>
  <c r="G53" i="11"/>
  <c r="G59" i="14" s="1"/>
  <c r="G51" i="11"/>
  <c r="G67" i="11"/>
  <c r="G54" i="11"/>
  <c r="G60" i="14" s="1"/>
  <c r="H48" i="11"/>
  <c r="G68" i="11"/>
  <c r="G74" i="14" s="1"/>
  <c r="G55" i="11"/>
  <c r="G61" i="14" s="1"/>
  <c r="G61" i="11"/>
  <c r="G67" i="14" s="1"/>
  <c r="G69" i="11"/>
  <c r="G75" i="14" s="1"/>
  <c r="G59" i="11"/>
  <c r="G65" i="14" s="1"/>
  <c r="G71" i="11"/>
  <c r="G77" i="14" s="1"/>
  <c r="G60" i="11"/>
  <c r="G66" i="14" s="1"/>
  <c r="F56" i="11"/>
  <c r="F62" i="14" s="1"/>
  <c r="S68" i="17"/>
  <c r="S18" i="17" s="1"/>
  <c r="E86" i="17"/>
  <c r="E18" i="17"/>
  <c r="E22" i="17" s="1"/>
  <c r="R202" i="17"/>
  <c r="S202" i="17" s="1"/>
  <c r="E100" i="17"/>
  <c r="E62" i="14"/>
  <c r="K95" i="17"/>
  <c r="K100" i="17" s="1"/>
  <c r="M95" i="17"/>
  <c r="M100" i="17" s="1"/>
  <c r="L95" i="17"/>
  <c r="L100" i="17" s="1"/>
  <c r="N95" i="17"/>
  <c r="N100" i="17" s="1"/>
  <c r="I95" i="17"/>
  <c r="I100" i="17" s="1"/>
  <c r="O95" i="17"/>
  <c r="O100" i="17" s="1"/>
  <c r="G95" i="17"/>
  <c r="G100" i="17" s="1"/>
  <c r="J95" i="17"/>
  <c r="J100" i="17" s="1"/>
  <c r="H95" i="17"/>
  <c r="H100" i="17" s="1"/>
  <c r="F95" i="17"/>
  <c r="P95" i="17"/>
  <c r="P100" i="17" s="1"/>
  <c r="Q95" i="17"/>
  <c r="Q100" i="17" s="1"/>
  <c r="G40" i="11"/>
  <c r="G141" i="14" s="1"/>
  <c r="H194" i="17"/>
  <c r="G86" i="17"/>
  <c r="Q22" i="17"/>
  <c r="R81" i="17"/>
  <c r="R86" i="17" s="1"/>
  <c r="H20" i="17"/>
  <c r="H22" i="17" s="1"/>
  <c r="I22" i="17"/>
  <c r="I40" i="11"/>
  <c r="I151" i="14" s="1"/>
  <c r="H40" i="11"/>
  <c r="I145" i="14" s="1"/>
  <c r="J104" i="17"/>
  <c r="I104" i="17"/>
  <c r="E66" i="14"/>
  <c r="M103" i="17"/>
  <c r="Q103" i="17"/>
  <c r="N103" i="17"/>
  <c r="I103" i="17"/>
  <c r="F103" i="17"/>
  <c r="H103" i="17"/>
  <c r="F64" i="11"/>
  <c r="F70" i="14" s="1"/>
  <c r="J103" i="17"/>
  <c r="J108" i="17" s="1"/>
  <c r="P103" i="17"/>
  <c r="O103" i="17"/>
  <c r="O108" i="17" s="1"/>
  <c r="G103" i="17"/>
  <c r="L103" i="17"/>
  <c r="G151" i="14"/>
  <c r="G97" i="11"/>
  <c r="G88" i="11"/>
  <c r="G96" i="14" s="1"/>
  <c r="G98" i="11"/>
  <c r="F96" i="11"/>
  <c r="F100" i="14" s="1"/>
  <c r="F151" i="14"/>
  <c r="F88" i="11"/>
  <c r="F96" i="14" s="1"/>
  <c r="F141" i="14"/>
  <c r="F98" i="11"/>
  <c r="G145" i="14"/>
  <c r="F97" i="11"/>
  <c r="Q104" i="17"/>
  <c r="Q108" i="17" s="1"/>
  <c r="G104" i="17"/>
  <c r="G108" i="17" s="1"/>
  <c r="H104" i="17"/>
  <c r="P104" i="17"/>
  <c r="O104" i="17"/>
  <c r="F104" i="17"/>
  <c r="N104" i="17"/>
  <c r="N108" i="17" s="1"/>
  <c r="M104" i="17"/>
  <c r="M108" i="17" s="1"/>
  <c r="K104" i="17"/>
  <c r="K108" i="17" s="1"/>
  <c r="L104" i="17"/>
  <c r="L108" i="17" s="1"/>
  <c r="I108" i="17"/>
  <c r="E64" i="11"/>
  <c r="E70" i="13" s="1"/>
  <c r="E70" i="14" s="1"/>
  <c r="E185" i="13"/>
  <c r="E183" i="17"/>
  <c r="E145" i="14"/>
  <c r="E24" i="19" s="1"/>
  <c r="E97" i="11"/>
  <c r="E101" i="13" s="1"/>
  <c r="E98" i="11"/>
  <c r="E102" i="13" s="1"/>
  <c r="F145" i="14"/>
  <c r="E96" i="11"/>
  <c r="E100" i="13" s="1"/>
  <c r="E88" i="11"/>
  <c r="E96" i="13" s="1"/>
  <c r="Q194" i="17"/>
  <c r="P194" i="17"/>
  <c r="G194" i="17"/>
  <c r="F194" i="17"/>
  <c r="H195" i="17"/>
  <c r="N195" i="17"/>
  <c r="G195" i="17"/>
  <c r="M195" i="17"/>
  <c r="L195" i="17"/>
  <c r="K195" i="17"/>
  <c r="J195" i="17"/>
  <c r="I195" i="17"/>
  <c r="P195" i="17"/>
  <c r="F195" i="17"/>
  <c r="Q195" i="17"/>
  <c r="N194" i="17"/>
  <c r="M194" i="17"/>
  <c r="L194" i="17"/>
  <c r="J194" i="17"/>
  <c r="I194" i="17"/>
  <c r="O194" i="17"/>
  <c r="G25" i="19"/>
  <c r="E155" i="14"/>
  <c r="E193" i="17"/>
  <c r="R17" i="17"/>
  <c r="S17" i="17"/>
  <c r="H114" i="17"/>
  <c r="H116" i="17" s="1"/>
  <c r="F114" i="17"/>
  <c r="F116" i="17" s="1"/>
  <c r="P114" i="17"/>
  <c r="P116" i="17" s="1"/>
  <c r="G114" i="17"/>
  <c r="G116" i="17" s="1"/>
  <c r="M114" i="17"/>
  <c r="M116" i="17" s="1"/>
  <c r="I114" i="17"/>
  <c r="I116" i="17" s="1"/>
  <c r="K114" i="17"/>
  <c r="K116" i="17" s="1"/>
  <c r="Q114" i="17"/>
  <c r="Q116" i="17" s="1"/>
  <c r="N114" i="17"/>
  <c r="N116" i="17" s="1"/>
  <c r="J114" i="17"/>
  <c r="L114" i="17"/>
  <c r="L116" i="17" s="1"/>
  <c r="O114" i="17"/>
  <c r="O116" i="17" s="1"/>
  <c r="E76" i="14"/>
  <c r="E78" i="13"/>
  <c r="L220" i="18"/>
  <c r="N220" i="18"/>
  <c r="J220" i="18"/>
  <c r="K220" i="18"/>
  <c r="P220" i="18"/>
  <c r="S143" i="18"/>
  <c r="S26" i="18" s="1"/>
  <c r="Q220" i="18"/>
  <c r="P33" i="18"/>
  <c r="P35" i="18" s="1"/>
  <c r="O220" i="18"/>
  <c r="K33" i="18"/>
  <c r="K35" i="18" s="1"/>
  <c r="J33" i="18"/>
  <c r="J35" i="18" s="1"/>
  <c r="I220" i="18"/>
  <c r="R143" i="18"/>
  <c r="R26" i="18" s="1"/>
  <c r="R29" i="18"/>
  <c r="I28" i="18"/>
  <c r="I33" i="18" s="1"/>
  <c r="I35" i="18" s="1"/>
  <c r="M33" i="18"/>
  <c r="M35" i="18" s="1"/>
  <c r="R180" i="18"/>
  <c r="R28" i="18" s="1"/>
  <c r="N33" i="18"/>
  <c r="N35" i="18" s="1"/>
  <c r="L33" i="18"/>
  <c r="L35" i="18" s="1"/>
  <c r="H218" i="18"/>
  <c r="H220" i="18" s="1"/>
  <c r="E33" i="18"/>
  <c r="E35" i="18" s="1"/>
  <c r="G218" i="18"/>
  <c r="G220" i="18" s="1"/>
  <c r="H33" i="18"/>
  <c r="H35" i="18" s="1"/>
  <c r="H43" i="18" s="1"/>
  <c r="I14" i="18" s="1"/>
  <c r="M218" i="18"/>
  <c r="M220" i="18" s="1"/>
  <c r="R166" i="18"/>
  <c r="S166" i="18" s="1"/>
  <c r="O27" i="18"/>
  <c r="O33" i="18" s="1"/>
  <c r="O35" i="18" s="1"/>
  <c r="Q27" i="18"/>
  <c r="Q33" i="18" s="1"/>
  <c r="Q35" i="18" s="1"/>
  <c r="S184" i="17" l="1"/>
  <c r="R28" i="17"/>
  <c r="G27" i="17"/>
  <c r="R163" i="17"/>
  <c r="F72" i="11"/>
  <c r="F78" i="14" s="1"/>
  <c r="G64" i="11"/>
  <c r="G70" i="14" s="1"/>
  <c r="G73" i="14"/>
  <c r="G72" i="11"/>
  <c r="G78" i="14" s="1"/>
  <c r="G56" i="11"/>
  <c r="G62" i="14" s="1"/>
  <c r="G57" i="14"/>
  <c r="H69" i="11"/>
  <c r="H75" i="14" s="1"/>
  <c r="H60" i="11"/>
  <c r="H66" i="14" s="1"/>
  <c r="I48" i="11"/>
  <c r="H59" i="11"/>
  <c r="H51" i="11"/>
  <c r="H61" i="11"/>
  <c r="H67" i="14" s="1"/>
  <c r="H52" i="11"/>
  <c r="H58" i="14" s="1"/>
  <c r="H62" i="11"/>
  <c r="H68" i="14" s="1"/>
  <c r="H53" i="11"/>
  <c r="H59" i="14" s="1"/>
  <c r="H63" i="11"/>
  <c r="H69" i="14" s="1"/>
  <c r="H54" i="11"/>
  <c r="H60" i="14" s="1"/>
  <c r="H70" i="11"/>
  <c r="H55" i="11"/>
  <c r="H61" i="14" s="1"/>
  <c r="H67" i="11"/>
  <c r="H73" i="14" s="1"/>
  <c r="H71" i="11"/>
  <c r="H77" i="14" s="1"/>
  <c r="H68" i="11"/>
  <c r="H74" i="14" s="1"/>
  <c r="G123" i="17"/>
  <c r="G25" i="17" s="1"/>
  <c r="F100" i="17"/>
  <c r="R95" i="17"/>
  <c r="G96" i="11"/>
  <c r="G100" i="14" s="1"/>
  <c r="R20" i="17"/>
  <c r="R22" i="17" s="1"/>
  <c r="S81" i="17"/>
  <c r="I88" i="11"/>
  <c r="I96" i="14" s="1"/>
  <c r="I97" i="11"/>
  <c r="I98" i="11"/>
  <c r="I141" i="14"/>
  <c r="I96" i="11"/>
  <c r="I100" i="14" s="1"/>
  <c r="H98" i="11"/>
  <c r="H141" i="14"/>
  <c r="H88" i="11"/>
  <c r="H96" i="14" s="1"/>
  <c r="H96" i="11"/>
  <c r="H100" i="14" s="1"/>
  <c r="H145" i="14"/>
  <c r="H97" i="11"/>
  <c r="H151" i="14"/>
  <c r="H24" i="19" s="1"/>
  <c r="I123" i="17"/>
  <c r="I25" i="17" s="1"/>
  <c r="H108" i="17"/>
  <c r="G185" i="14"/>
  <c r="M123" i="17"/>
  <c r="M25" i="17" s="1"/>
  <c r="E79" i="11"/>
  <c r="E100" i="11" s="1"/>
  <c r="E103" i="13" s="1"/>
  <c r="P108" i="17"/>
  <c r="P123" i="17" s="1"/>
  <c r="P25" i="17" s="1"/>
  <c r="L123" i="17"/>
  <c r="L25" i="17" s="1"/>
  <c r="O123" i="17"/>
  <c r="O25" i="17" s="1"/>
  <c r="R103" i="17"/>
  <c r="S103" i="17" s="1"/>
  <c r="E108" i="17"/>
  <c r="K123" i="17"/>
  <c r="K25" i="17" s="1"/>
  <c r="G24" i="19"/>
  <c r="F24" i="19"/>
  <c r="F108" i="17"/>
  <c r="F123" i="17" s="1"/>
  <c r="F25" i="17" s="1"/>
  <c r="R104" i="17"/>
  <c r="S104" i="17" s="1"/>
  <c r="N123" i="17"/>
  <c r="N25" i="17" s="1"/>
  <c r="H123" i="17"/>
  <c r="H25" i="17" s="1"/>
  <c r="Q123" i="17"/>
  <c r="Q25" i="17" s="1"/>
  <c r="E140" i="17"/>
  <c r="E102" i="14"/>
  <c r="F102" i="14" s="1"/>
  <c r="G102" i="14" s="1"/>
  <c r="H102" i="14" s="1"/>
  <c r="I102" i="14" s="1"/>
  <c r="E139" i="17"/>
  <c r="E101" i="14"/>
  <c r="F101" i="14" s="1"/>
  <c r="G101" i="14" s="1"/>
  <c r="H101" i="14" s="1"/>
  <c r="I101" i="14" s="1"/>
  <c r="R108" i="17"/>
  <c r="E134" i="17"/>
  <c r="E96" i="14"/>
  <c r="E100" i="14"/>
  <c r="E138" i="17"/>
  <c r="S183" i="17"/>
  <c r="S28" i="17" s="1"/>
  <c r="E28" i="17"/>
  <c r="I24" i="19"/>
  <c r="R195" i="17"/>
  <c r="S195" i="17" s="1"/>
  <c r="R194" i="17"/>
  <c r="S194" i="17" s="1"/>
  <c r="E223" i="17"/>
  <c r="E29" i="17"/>
  <c r="H193" i="17"/>
  <c r="N193" i="17"/>
  <c r="P193" i="17"/>
  <c r="I193" i="17"/>
  <c r="Q193" i="17"/>
  <c r="F193" i="17"/>
  <c r="J193" i="17"/>
  <c r="M193" i="17"/>
  <c r="K193" i="17"/>
  <c r="G193" i="17"/>
  <c r="L193" i="17"/>
  <c r="O193" i="17"/>
  <c r="F185" i="14"/>
  <c r="F25" i="19"/>
  <c r="E25" i="19"/>
  <c r="E185" i="14"/>
  <c r="I185" i="14"/>
  <c r="I25" i="19"/>
  <c r="H25" i="19"/>
  <c r="R114" i="17"/>
  <c r="J116" i="17"/>
  <c r="J123" i="17" s="1"/>
  <c r="J25" i="17" s="1"/>
  <c r="E89" i="11"/>
  <c r="E97" i="13" s="1"/>
  <c r="E116" i="17"/>
  <c r="E78" i="14"/>
  <c r="S180" i="18"/>
  <c r="S28" i="18" s="1"/>
  <c r="R218" i="18"/>
  <c r="R220" i="18" s="1"/>
  <c r="R27" i="18"/>
  <c r="R33" i="18" s="1"/>
  <c r="R35" i="18" s="1"/>
  <c r="I43" i="18"/>
  <c r="J14" i="18" s="1"/>
  <c r="J43" i="18" s="1"/>
  <c r="K14" i="18" s="1"/>
  <c r="K43" i="18" s="1"/>
  <c r="L14" i="18" s="1"/>
  <c r="L43" i="18" s="1"/>
  <c r="M14" i="18" s="1"/>
  <c r="M43" i="18" s="1"/>
  <c r="N14" i="18" s="1"/>
  <c r="N43" i="18" s="1"/>
  <c r="O14" i="18" s="1"/>
  <c r="O43" i="18" s="1"/>
  <c r="P14" i="18" s="1"/>
  <c r="P43" i="18" s="1"/>
  <c r="Q14" i="18" s="1"/>
  <c r="Q43" i="18" s="1"/>
  <c r="E14" i="17" s="1"/>
  <c r="F14" i="17" s="1"/>
  <c r="S27" i="18"/>
  <c r="S163" i="17" l="1"/>
  <c r="S27" i="17" s="1"/>
  <c r="R27" i="17"/>
  <c r="F79" i="11"/>
  <c r="F89" i="11" s="1"/>
  <c r="F97" i="14" s="1"/>
  <c r="G79" i="11"/>
  <c r="G90" i="11" s="1"/>
  <c r="G98" i="14" s="1"/>
  <c r="H64" i="11"/>
  <c r="H70" i="14" s="1"/>
  <c r="H65" i="14"/>
  <c r="H72" i="11"/>
  <c r="H78" i="14" s="1"/>
  <c r="H76" i="14"/>
  <c r="I60" i="11"/>
  <c r="I66" i="14" s="1"/>
  <c r="I62" i="11"/>
  <c r="I68" i="14" s="1"/>
  <c r="I54" i="11"/>
  <c r="I60" i="14" s="1"/>
  <c r="I63" i="11"/>
  <c r="I69" i="14" s="1"/>
  <c r="I51" i="11"/>
  <c r="I70" i="11"/>
  <c r="I76" i="14" s="1"/>
  <c r="I52" i="11"/>
  <c r="I58" i="14" s="1"/>
  <c r="I67" i="11"/>
  <c r="I53" i="11"/>
  <c r="I59" i="14" s="1"/>
  <c r="I68" i="11"/>
  <c r="I74" i="14" s="1"/>
  <c r="I55" i="11"/>
  <c r="I61" i="14" s="1"/>
  <c r="I69" i="11"/>
  <c r="I75" i="14" s="1"/>
  <c r="I59" i="11"/>
  <c r="I71" i="11"/>
  <c r="I77" i="14" s="1"/>
  <c r="I61" i="11"/>
  <c r="I67" i="14" s="1"/>
  <c r="H56" i="11"/>
  <c r="H57" i="14"/>
  <c r="R100" i="17"/>
  <c r="S95" i="17"/>
  <c r="S100" i="17" s="1"/>
  <c r="S20" i="17"/>
  <c r="S22" i="17" s="1"/>
  <c r="S86" i="17"/>
  <c r="H185" i="14"/>
  <c r="S108" i="17"/>
  <c r="E86" i="11"/>
  <c r="E94" i="13" s="1"/>
  <c r="E132" i="17" s="1"/>
  <c r="E87" i="11"/>
  <c r="E95" i="13" s="1"/>
  <c r="E133" i="17" s="1"/>
  <c r="F90" i="11"/>
  <c r="F98" i="14" s="1"/>
  <c r="F85" i="14"/>
  <c r="F21" i="19" s="1"/>
  <c r="F87" i="11"/>
  <c r="F95" i="14" s="1"/>
  <c r="F100" i="11"/>
  <c r="F103" i="14" s="1"/>
  <c r="F86" i="11"/>
  <c r="F94" i="14" s="1"/>
  <c r="G87" i="11"/>
  <c r="G95" i="14" s="1"/>
  <c r="G100" i="11"/>
  <c r="G103" i="14" s="1"/>
  <c r="E90" i="11"/>
  <c r="E98" i="13" s="1"/>
  <c r="E136" i="17" s="1"/>
  <c r="E85" i="13"/>
  <c r="E123" i="17" s="1"/>
  <c r="L134" i="17"/>
  <c r="I134" i="17"/>
  <c r="M134" i="17"/>
  <c r="K134" i="17"/>
  <c r="F134" i="17"/>
  <c r="P134" i="17"/>
  <c r="J134" i="17"/>
  <c r="H134" i="17"/>
  <c r="N134" i="17"/>
  <c r="Q134" i="17"/>
  <c r="G134" i="17"/>
  <c r="O134" i="17"/>
  <c r="N139" i="17"/>
  <c r="P139" i="17"/>
  <c r="O139" i="17"/>
  <c r="I139" i="17"/>
  <c r="F139" i="17"/>
  <c r="L139" i="17"/>
  <c r="J139" i="17"/>
  <c r="G139" i="17"/>
  <c r="M139" i="17"/>
  <c r="H139" i="17"/>
  <c r="K139" i="17"/>
  <c r="Q139" i="17"/>
  <c r="H138" i="17"/>
  <c r="Q138" i="17"/>
  <c r="I138" i="17"/>
  <c r="J138" i="17"/>
  <c r="O138" i="17"/>
  <c r="P138" i="17"/>
  <c r="K138" i="17"/>
  <c r="M138" i="17"/>
  <c r="L138" i="17"/>
  <c r="N138" i="17"/>
  <c r="F138" i="17"/>
  <c r="G138" i="17"/>
  <c r="Q140" i="17"/>
  <c r="I140" i="17"/>
  <c r="F140" i="17"/>
  <c r="L140" i="17"/>
  <c r="O140" i="17"/>
  <c r="J140" i="17"/>
  <c r="G140" i="17"/>
  <c r="N140" i="17"/>
  <c r="M140" i="17"/>
  <c r="K140" i="17"/>
  <c r="P140" i="17"/>
  <c r="H140" i="17"/>
  <c r="F29" i="17"/>
  <c r="R193" i="17"/>
  <c r="F223" i="17"/>
  <c r="O223" i="17"/>
  <c r="O29" i="17"/>
  <c r="Q223" i="17"/>
  <c r="Q29" i="17"/>
  <c r="L29" i="17"/>
  <c r="L223" i="17"/>
  <c r="I223" i="17"/>
  <c r="I29" i="17"/>
  <c r="G29" i="17"/>
  <c r="G223" i="17"/>
  <c r="P223" i="17"/>
  <c r="P29" i="17"/>
  <c r="K29" i="17"/>
  <c r="K223" i="17"/>
  <c r="N29" i="17"/>
  <c r="N223" i="17"/>
  <c r="M223" i="17"/>
  <c r="M29" i="17"/>
  <c r="H223" i="17"/>
  <c r="H29" i="17"/>
  <c r="J223" i="17"/>
  <c r="J29" i="17"/>
  <c r="S114" i="17"/>
  <c r="S116" i="17" s="1"/>
  <c r="R116" i="17"/>
  <c r="E95" i="14"/>
  <c r="E103" i="14"/>
  <c r="E141" i="17"/>
  <c r="E97" i="14"/>
  <c r="E135" i="17"/>
  <c r="S218" i="18"/>
  <c r="S220" i="18" s="1"/>
  <c r="S33" i="18"/>
  <c r="S35" i="18" s="1"/>
  <c r="G85" i="14" l="1"/>
  <c r="G21" i="19" s="1"/>
  <c r="G86" i="11"/>
  <c r="G94" i="14" s="1"/>
  <c r="G110" i="14" s="1"/>
  <c r="G22" i="19" s="1"/>
  <c r="G28" i="19" s="1"/>
  <c r="G30" i="19" s="1"/>
  <c r="G89" i="11"/>
  <c r="G97" i="14" s="1"/>
  <c r="I72" i="11"/>
  <c r="I78" i="14" s="1"/>
  <c r="I73" i="14"/>
  <c r="H62" i="14"/>
  <c r="H79" i="11"/>
  <c r="I64" i="11"/>
  <c r="I70" i="14" s="1"/>
  <c r="I65" i="14"/>
  <c r="I57" i="14"/>
  <c r="I56" i="11"/>
  <c r="R123" i="17"/>
  <c r="R25" i="17" s="1"/>
  <c r="S123" i="17"/>
  <c r="S25" i="17" s="1"/>
  <c r="E94" i="14"/>
  <c r="F110" i="14"/>
  <c r="F22" i="19" s="1"/>
  <c r="F28" i="19" s="1"/>
  <c r="F30" i="19" s="1"/>
  <c r="E110" i="13"/>
  <c r="E187" i="13" s="1"/>
  <c r="E98" i="14"/>
  <c r="E110" i="14" s="1"/>
  <c r="E22" i="19" s="1"/>
  <c r="E85" i="14"/>
  <c r="R138" i="17"/>
  <c r="S138" i="17" s="1"/>
  <c r="R134" i="17"/>
  <c r="S134" i="17" s="1"/>
  <c r="R140" i="17"/>
  <c r="S140" i="17" s="1"/>
  <c r="R139" i="17"/>
  <c r="S139" i="17" s="1"/>
  <c r="R29" i="17"/>
  <c r="R223" i="17"/>
  <c r="S193" i="17"/>
  <c r="O135" i="17"/>
  <c r="L135" i="17"/>
  <c r="F135" i="17"/>
  <c r="I135" i="17"/>
  <c r="J135" i="17"/>
  <c r="H135" i="17"/>
  <c r="P135" i="17"/>
  <c r="G135" i="17"/>
  <c r="Q135" i="17"/>
  <c r="K135" i="17"/>
  <c r="N135" i="17"/>
  <c r="M135" i="17"/>
  <c r="Q132" i="17"/>
  <c r="M132" i="17"/>
  <c r="J132" i="17"/>
  <c r="N132" i="17"/>
  <c r="F132" i="17"/>
  <c r="E148" i="17"/>
  <c r="E26" i="17" s="1"/>
  <c r="I132" i="17"/>
  <c r="G132" i="17"/>
  <c r="K132" i="17"/>
  <c r="O132" i="17"/>
  <c r="L132" i="17"/>
  <c r="P132" i="17"/>
  <c r="H132" i="17"/>
  <c r="J141" i="17"/>
  <c r="K141" i="17"/>
  <c r="L141" i="17"/>
  <c r="M141" i="17"/>
  <c r="G141" i="17"/>
  <c r="Q141" i="17"/>
  <c r="H141" i="17"/>
  <c r="F141" i="17"/>
  <c r="I141" i="17"/>
  <c r="O141" i="17"/>
  <c r="P141" i="17"/>
  <c r="N141" i="17"/>
  <c r="E25" i="17"/>
  <c r="Q133" i="17"/>
  <c r="J133" i="17"/>
  <c r="F133" i="17"/>
  <c r="K133" i="17"/>
  <c r="G133" i="17"/>
  <c r="L133" i="17"/>
  <c r="I133" i="17"/>
  <c r="O133" i="17"/>
  <c r="M133" i="17"/>
  <c r="N133" i="17"/>
  <c r="H133" i="17"/>
  <c r="P133" i="17"/>
  <c r="J136" i="17"/>
  <c r="K136" i="17"/>
  <c r="G136" i="17"/>
  <c r="M136" i="17"/>
  <c r="L136" i="17"/>
  <c r="N136" i="17"/>
  <c r="H136" i="17"/>
  <c r="O136" i="17"/>
  <c r="P136" i="17"/>
  <c r="F136" i="17"/>
  <c r="I136" i="17"/>
  <c r="Q136" i="17"/>
  <c r="E21" i="19"/>
  <c r="I62" i="14" l="1"/>
  <c r="I79" i="11"/>
  <c r="H85" i="14"/>
  <c r="H100" i="11"/>
  <c r="H103" i="14" s="1"/>
  <c r="H90" i="11"/>
  <c r="H98" i="14" s="1"/>
  <c r="H87" i="11"/>
  <c r="H95" i="14" s="1"/>
  <c r="H89" i="11"/>
  <c r="H97" i="14" s="1"/>
  <c r="H86" i="11"/>
  <c r="H94" i="14" s="1"/>
  <c r="F187" i="14"/>
  <c r="G187" i="14"/>
  <c r="E33" i="17"/>
  <c r="E35" i="17" s="1"/>
  <c r="S223" i="17"/>
  <c r="S29" i="17"/>
  <c r="O148" i="17"/>
  <c r="O225" i="17" s="1"/>
  <c r="M148" i="17"/>
  <c r="M26" i="17" s="1"/>
  <c r="M33" i="17" s="1"/>
  <c r="M35" i="17" s="1"/>
  <c r="K148" i="17"/>
  <c r="K26" i="17" s="1"/>
  <c r="K33" i="17" s="1"/>
  <c r="K35" i="17" s="1"/>
  <c r="E187" i="14"/>
  <c r="G148" i="17"/>
  <c r="Q148" i="17"/>
  <c r="E28" i="19"/>
  <c r="E30" i="19" s="1"/>
  <c r="E32" i="19" s="1"/>
  <c r="F13" i="19" s="1"/>
  <c r="F32" i="19" s="1"/>
  <c r="G13" i="19" s="1"/>
  <c r="G32" i="19" s="1"/>
  <c r="H13" i="19" s="1"/>
  <c r="R133" i="17"/>
  <c r="S133" i="17" s="1"/>
  <c r="I148" i="17"/>
  <c r="R141" i="17"/>
  <c r="S141" i="17" s="1"/>
  <c r="R136" i="17"/>
  <c r="S136" i="17" s="1"/>
  <c r="H148" i="17"/>
  <c r="F148" i="17"/>
  <c r="R132" i="17"/>
  <c r="R135" i="17"/>
  <c r="S135" i="17" s="1"/>
  <c r="P148" i="17"/>
  <c r="N148" i="17"/>
  <c r="E225" i="17"/>
  <c r="L148" i="17"/>
  <c r="J148" i="17"/>
  <c r="H110" i="14" l="1"/>
  <c r="H22" i="19" s="1"/>
  <c r="H21" i="19"/>
  <c r="I89" i="11"/>
  <c r="I97" i="14" s="1"/>
  <c r="I85" i="14"/>
  <c r="I87" i="11"/>
  <c r="I95" i="14" s="1"/>
  <c r="I86" i="11"/>
  <c r="I94" i="14" s="1"/>
  <c r="I90" i="11"/>
  <c r="I98" i="14" s="1"/>
  <c r="I100" i="11"/>
  <c r="I103" i="14" s="1"/>
  <c r="M225" i="17"/>
  <c r="O26" i="17"/>
  <c r="O33" i="17" s="1"/>
  <c r="O35" i="17" s="1"/>
  <c r="K225" i="17"/>
  <c r="I26" i="17"/>
  <c r="I33" i="17" s="1"/>
  <c r="I35" i="17" s="1"/>
  <c r="I225" i="17"/>
  <c r="N26" i="17"/>
  <c r="N33" i="17" s="1"/>
  <c r="N35" i="17" s="1"/>
  <c r="N225" i="17"/>
  <c r="P26" i="17"/>
  <c r="P33" i="17" s="1"/>
  <c r="P35" i="17" s="1"/>
  <c r="P225" i="17"/>
  <c r="Q225" i="17"/>
  <c r="Q26" i="17"/>
  <c r="Q33" i="17" s="1"/>
  <c r="Q35" i="17" s="1"/>
  <c r="L26" i="17"/>
  <c r="L33" i="17" s="1"/>
  <c r="L35" i="17" s="1"/>
  <c r="L225" i="17"/>
  <c r="F26" i="17"/>
  <c r="F33" i="17" s="1"/>
  <c r="F35" i="17" s="1"/>
  <c r="F43" i="17" s="1"/>
  <c r="G14" i="17" s="1"/>
  <c r="F225" i="17"/>
  <c r="G26" i="17"/>
  <c r="G33" i="17" s="1"/>
  <c r="G35" i="17" s="1"/>
  <c r="G225" i="17"/>
  <c r="J26" i="17"/>
  <c r="J33" i="17" s="1"/>
  <c r="J35" i="17" s="1"/>
  <c r="J225" i="17"/>
  <c r="R148" i="17"/>
  <c r="S132" i="17"/>
  <c r="S148" i="17" s="1"/>
  <c r="H26" i="17"/>
  <c r="H33" i="17" s="1"/>
  <c r="H35" i="17" s="1"/>
  <c r="H225" i="17"/>
  <c r="H28" i="19" l="1"/>
  <c r="H30" i="19" s="1"/>
  <c r="H32" i="19" s="1"/>
  <c r="I13" i="19" s="1"/>
  <c r="I110" i="14"/>
  <c r="I22" i="19" s="1"/>
  <c r="H187" i="14"/>
  <c r="I21" i="19"/>
  <c r="G43" i="17"/>
  <c r="H14" i="17" s="1"/>
  <c r="H43" i="17" s="1"/>
  <c r="I14" i="17" s="1"/>
  <c r="I43" i="17" s="1"/>
  <c r="J14" i="17" s="1"/>
  <c r="J43" i="17" s="1"/>
  <c r="K14" i="17" s="1"/>
  <c r="K43" i="17" s="1"/>
  <c r="L14" i="17" s="1"/>
  <c r="L43" i="17" s="1"/>
  <c r="M14" i="17" s="1"/>
  <c r="M43" i="17" s="1"/>
  <c r="N14" i="17" s="1"/>
  <c r="N43" i="17" s="1"/>
  <c r="O14" i="17" s="1"/>
  <c r="O43" i="17" s="1"/>
  <c r="P14" i="17" s="1"/>
  <c r="P43" i="17" s="1"/>
  <c r="Q14" i="17" s="1"/>
  <c r="Q43" i="17" s="1"/>
  <c r="S26" i="17"/>
  <c r="S33" i="17" s="1"/>
  <c r="S35" i="17" s="1"/>
  <c r="S225" i="17"/>
  <c r="R26" i="17"/>
  <c r="R33" i="17" s="1"/>
  <c r="R35" i="17" s="1"/>
  <c r="R225" i="17"/>
  <c r="I28" i="19" l="1"/>
  <c r="I30" i="19" s="1"/>
  <c r="I32" i="19" s="1"/>
  <c r="I18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29" authorId="0" shapeId="0" xr:uid="{00000000-0006-0000-0100-000001000000}">
      <text>
        <r>
          <rPr>
            <sz val="9"/>
            <color indexed="81"/>
            <rFont val="Tahoma"/>
            <family val="2"/>
          </rPr>
          <t xml:space="preserve">Additional instructions or guidance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62" authorId="0" shapeId="0" xr:uid="{00000000-0006-0000-0400-000001000000}">
      <text>
        <r>
          <rPr>
            <sz val="9"/>
            <color indexed="81"/>
            <rFont val="Tahoma"/>
            <family val="2"/>
          </rPr>
          <t>informational purposes only.  Does not drive a calculation in column 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E14" authorId="0" shapeId="0" xr:uid="{00000000-0006-0000-0500-000001000000}">
      <text>
        <r>
          <rPr>
            <b/>
            <sz val="9"/>
            <color indexed="81"/>
            <rFont val="Tahoma"/>
            <family val="2"/>
          </rPr>
          <t>Enter a starting cash amount if applicable</t>
        </r>
        <r>
          <rPr>
            <sz val="9"/>
            <color indexed="81"/>
            <rFont val="Tahoma"/>
            <family val="2"/>
          </rPr>
          <t xml:space="preserve">
</t>
        </r>
      </text>
    </comment>
    <comment ref="B39" authorId="0" shapeId="0" xr:uid="{00000000-0006-0000-0500-000002000000}">
      <text>
        <r>
          <rPr>
            <sz val="9"/>
            <color indexed="81"/>
            <rFont val="Tahoma"/>
            <family val="2"/>
          </rPr>
          <t xml:space="preserve">Should be a positive value
</t>
        </r>
      </text>
    </comment>
    <comment ref="B40" authorId="0" shapeId="0" xr:uid="{00000000-0006-0000-0500-000003000000}">
      <text>
        <r>
          <rPr>
            <sz val="9"/>
            <color indexed="81"/>
            <rFont val="Tahoma"/>
            <family val="2"/>
          </rPr>
          <t>Should be a negative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74" authorId="0" shapeId="0" xr:uid="{00000000-0006-0000-0600-000001000000}">
      <text>
        <r>
          <rPr>
            <sz val="9"/>
            <color indexed="81"/>
            <rFont val="Tahoma"/>
            <family val="2"/>
          </rPr>
          <t xml:space="preserve">Leverage these rows for any additional compensation such as one time stipends, bonuses, and other irregular compensation that is otherwise not driven by FTE counts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56" authorId="0" shapeId="0" xr:uid="{00000000-0006-0000-0700-000001000000}">
      <text>
        <r>
          <rPr>
            <b/>
            <sz val="9"/>
            <color indexed="81"/>
            <rFont val="Tahoma"/>
            <family val="2"/>
          </rPr>
          <t>This section pulls from the staffing assumptions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39" authorId="0" shapeId="0" xr:uid="{00000000-0006-0000-0800-000001000000}">
      <text>
        <r>
          <rPr>
            <sz val="9"/>
            <color indexed="81"/>
            <rFont val="Tahoma"/>
            <family val="2"/>
          </rPr>
          <t xml:space="preserve">Should be a positive value
</t>
        </r>
      </text>
    </comment>
    <comment ref="B40" authorId="0" shapeId="0" xr:uid="{00000000-0006-0000-0800-000002000000}">
      <text>
        <r>
          <rPr>
            <sz val="9"/>
            <color indexed="81"/>
            <rFont val="Tahoma"/>
            <family val="2"/>
          </rPr>
          <t>Should be a negative value</t>
        </r>
      </text>
    </comment>
  </commentList>
</comments>
</file>

<file path=xl/sharedStrings.xml><?xml version="1.0" encoding="utf-8"?>
<sst xmlns="http://schemas.openxmlformats.org/spreadsheetml/2006/main" count="956" uniqueCount="531">
  <si>
    <t>Instructions</t>
  </si>
  <si>
    <t>Enter enrollment and key student demographic information assumptions</t>
  </si>
  <si>
    <t>7) Year 1 Cash Flow</t>
  </si>
  <si>
    <t>6) Year 1 Budget</t>
  </si>
  <si>
    <t>Enter staffing assumptions; assumptions will drive over tabs</t>
  </si>
  <si>
    <t>Enter cash flow details and assumptions for 12 month period prior to Year 1</t>
  </si>
  <si>
    <t>Enter budget details and assumptions for 12 month period prior to Year 1</t>
  </si>
  <si>
    <t>Enter budget details and assumptions for Year 1</t>
  </si>
  <si>
    <t>Template Tabs</t>
  </si>
  <si>
    <t>Template  Guidance</t>
  </si>
  <si>
    <t>Provides additional information or instruction for specific tab or section of tab</t>
  </si>
  <si>
    <t>Cells with red comment tag include additional guidance and instruction</t>
  </si>
  <si>
    <t>1) Proposed School Information</t>
  </si>
  <si>
    <t>Enter proposed school name, contact information, and proposed year of opening</t>
  </si>
  <si>
    <t>Proposed School Name</t>
  </si>
  <si>
    <t>Proposed Authorizer</t>
  </si>
  <si>
    <t xml:space="preserve"> New Charter School Application Budget Template</t>
  </si>
  <si>
    <t>New Charter School Application Budget Template</t>
  </si>
  <si>
    <t>Proposed School Information</t>
  </si>
  <si>
    <t>Proposed First Year of Operations</t>
  </si>
  <si>
    <t>Proposed Opening Grade Level(s)</t>
  </si>
  <si>
    <t>Proposed Final Grade Level(s)</t>
  </si>
  <si>
    <t>Select Year</t>
  </si>
  <si>
    <t>CMO/EMO Affiliation</t>
  </si>
  <si>
    <t>2016-17</t>
  </si>
  <si>
    <t>2017-18</t>
  </si>
  <si>
    <t>2018-19</t>
  </si>
  <si>
    <t>2019-20</t>
  </si>
  <si>
    <t>2020-21</t>
  </si>
  <si>
    <t>2021-22</t>
  </si>
  <si>
    <t>2022-23</t>
  </si>
  <si>
    <t>2023-24</t>
  </si>
  <si>
    <t>2024-25</t>
  </si>
  <si>
    <t>Kindergarten</t>
  </si>
  <si>
    <t>1st Grade</t>
  </si>
  <si>
    <t>2nd Grade</t>
  </si>
  <si>
    <t>3rd Grade</t>
  </si>
  <si>
    <t>4th Grade</t>
  </si>
  <si>
    <t>5th Grade</t>
  </si>
  <si>
    <t>6th Grade</t>
  </si>
  <si>
    <t>7th Grade</t>
  </si>
  <si>
    <t>8th Grade</t>
  </si>
  <si>
    <t>Enrollment</t>
  </si>
  <si>
    <t>School Days</t>
  </si>
  <si>
    <t>Attendance Rate</t>
  </si>
  <si>
    <t>SPED %</t>
  </si>
  <si>
    <t>SPED Count</t>
  </si>
  <si>
    <t>Year 1</t>
  </si>
  <si>
    <t>Year 2</t>
  </si>
  <si>
    <t>Year 3</t>
  </si>
  <si>
    <t>Year 4</t>
  </si>
  <si>
    <t>Year 5</t>
  </si>
  <si>
    <t>9th Grade</t>
  </si>
  <si>
    <t>10th Grade</t>
  </si>
  <si>
    <t>11th Grade</t>
  </si>
  <si>
    <t>12th Grade</t>
  </si>
  <si>
    <t>Pre-Kindergarten (Informational Only)</t>
  </si>
  <si>
    <t>Total Enrollment (excluding Pre-Kindergarten)</t>
  </si>
  <si>
    <t>Enrollment Assumptions</t>
  </si>
  <si>
    <t>2) Student Assumptions</t>
  </si>
  <si>
    <t>Student Assumptions</t>
  </si>
  <si>
    <t># of Classes</t>
  </si>
  <si>
    <t>Total # of Classes</t>
  </si>
  <si>
    <t># of Classes By Grade</t>
  </si>
  <si>
    <t>ELL %</t>
  </si>
  <si>
    <t>ELL Count</t>
  </si>
  <si>
    <t>Other Key Assumptions</t>
  </si>
  <si>
    <t>Change in Net Enrollment</t>
  </si>
  <si>
    <t>Change in Net # of Classes</t>
  </si>
  <si>
    <t>FTE Assumptions</t>
  </si>
  <si>
    <t>Instructional Staff</t>
  </si>
  <si>
    <t>Non-Instructional Staff</t>
  </si>
  <si>
    <t>Total FTE</t>
  </si>
  <si>
    <t>Total Administrative FTE</t>
  </si>
  <si>
    <t>Administrative Staff</t>
  </si>
  <si>
    <t>Total Instructional FTE</t>
  </si>
  <si>
    <t>Total Non-Instructional  FTE</t>
  </si>
  <si>
    <t>Compensation Assumptions</t>
  </si>
  <si>
    <t>Annual Increase</t>
  </si>
  <si>
    <t>Base Assumption</t>
  </si>
  <si>
    <t>Total Administrative Compensation</t>
  </si>
  <si>
    <t>Total Instructional Compensation</t>
  </si>
  <si>
    <t>Total Non-Instructional  Compensation</t>
  </si>
  <si>
    <t>Total Compensation</t>
  </si>
  <si>
    <t>Other Compensation</t>
  </si>
  <si>
    <t>Fiscal Year</t>
  </si>
  <si>
    <t xml:space="preserve">Social Security </t>
  </si>
  <si>
    <t>Medicare</t>
  </si>
  <si>
    <t>State Unemployment</t>
  </si>
  <si>
    <t>Workers Compensation Insurance</t>
  </si>
  <si>
    <t>Medical Insurance</t>
  </si>
  <si>
    <t>Dental Insurance</t>
  </si>
  <si>
    <t>Vision Insurance</t>
  </si>
  <si>
    <t>Disability/Life Insurance</t>
  </si>
  <si>
    <t>Cumultative Increase</t>
  </si>
  <si>
    <t>2026-27</t>
  </si>
  <si>
    <t>2027-28</t>
  </si>
  <si>
    <t>2029-30</t>
  </si>
  <si>
    <t>2028-29</t>
  </si>
  <si>
    <t>2030-31</t>
  </si>
  <si>
    <t>2031-32</t>
  </si>
  <si>
    <t>Year 1 Budget</t>
  </si>
  <si>
    <t>State Revenues</t>
  </si>
  <si>
    <t>Federal Revenues</t>
  </si>
  <si>
    <t xml:space="preserve">Basic Education Program </t>
  </si>
  <si>
    <t>BEP Transportation Component</t>
  </si>
  <si>
    <t>BEP Capital Outlay</t>
  </si>
  <si>
    <t>Title I</t>
  </si>
  <si>
    <t>Title II</t>
  </si>
  <si>
    <t>Title III</t>
  </si>
  <si>
    <t>CSP Startup Grant</t>
  </si>
  <si>
    <t>School Activity Revenues</t>
  </si>
  <si>
    <t>Other</t>
  </si>
  <si>
    <t>Total Revenues</t>
  </si>
  <si>
    <t>Fundraising &amp; Philanthropy</t>
  </si>
  <si>
    <t>NSLP</t>
  </si>
  <si>
    <t>E-Rate</t>
  </si>
  <si>
    <t>Assumption</t>
  </si>
  <si>
    <t>FTE Count</t>
  </si>
  <si>
    <t>Employer Benefits &amp; Tax Assumptions</t>
  </si>
  <si>
    <t>Other Fringe Benefits</t>
  </si>
  <si>
    <t>Other Retirement</t>
  </si>
  <si>
    <t>Total Employer Benefits &amp; Taxes</t>
  </si>
  <si>
    <t>Contracted Services</t>
  </si>
  <si>
    <t>Supplies &amp; Materials</t>
  </si>
  <si>
    <t>Other Charges</t>
  </si>
  <si>
    <t>Debt Service</t>
  </si>
  <si>
    <t>Facility Related Expenses</t>
  </si>
  <si>
    <t>Operating Expenses</t>
  </si>
  <si>
    <t>Total Operating Expenses</t>
  </si>
  <si>
    <t>Annual Revenue Increase</t>
  </si>
  <si>
    <t>Annual Expense Increase</t>
  </si>
  <si>
    <t>Total Expenses</t>
  </si>
  <si>
    <t>Assumption Notes</t>
  </si>
  <si>
    <t>Rate/Assumption</t>
  </si>
  <si>
    <t>Pre-Opening Budget</t>
  </si>
  <si>
    <t>Year 0</t>
  </si>
  <si>
    <t>2015-16</t>
  </si>
  <si>
    <t>Year 1 Cash Flow</t>
  </si>
  <si>
    <t>July</t>
  </si>
  <si>
    <t>August</t>
  </si>
  <si>
    <t>September</t>
  </si>
  <si>
    <t>October</t>
  </si>
  <si>
    <t>November</t>
  </si>
  <si>
    <t>December</t>
  </si>
  <si>
    <t>January</t>
  </si>
  <si>
    <t>February</t>
  </si>
  <si>
    <t>March</t>
  </si>
  <si>
    <t>April</t>
  </si>
  <si>
    <t>May</t>
  </si>
  <si>
    <t>June</t>
  </si>
  <si>
    <t>Total Budget</t>
  </si>
  <si>
    <t>Total</t>
  </si>
  <si>
    <t>AR/AP</t>
  </si>
  <si>
    <t>Revenues</t>
  </si>
  <si>
    <t>Compensation</t>
  </si>
  <si>
    <t>Expenses</t>
  </si>
  <si>
    <t>Staffing</t>
  </si>
  <si>
    <t>Employer Benefits &amp; Taxes</t>
  </si>
  <si>
    <t>Facility-Related Expenses</t>
  </si>
  <si>
    <t>Beginning Cash</t>
  </si>
  <si>
    <t>Operating Income (Loss)</t>
  </si>
  <si>
    <t>Ending Cash</t>
  </si>
  <si>
    <t>Details of Cash Flow</t>
  </si>
  <si>
    <t>Cash Flow Summary</t>
  </si>
  <si>
    <t>Changes in Accounts Receivable</t>
  </si>
  <si>
    <t>Changes in Accounts Payable</t>
  </si>
  <si>
    <t>Line of Credit Proceeds</t>
  </si>
  <si>
    <t>Line of Credit Repayments</t>
  </si>
  <si>
    <t>Other Balance Sheet Activity</t>
  </si>
  <si>
    <t xml:space="preserve">Developed in partnership with </t>
  </si>
  <si>
    <t>Enter cash flow details and assumptions for Year 1 (July to June 12 month period)</t>
  </si>
  <si>
    <t>Lead Sponsor Name</t>
  </si>
  <si>
    <t>Lead Sponsor E-mail Address</t>
  </si>
  <si>
    <t>Lead Sponsor Phone Number</t>
  </si>
  <si>
    <t>3) Pre-Opening Budget</t>
  </si>
  <si>
    <t>4) Pre-Opening Cash Flow</t>
  </si>
  <si>
    <t>Detail any private funding sources</t>
  </si>
  <si>
    <t>Additional Space to Provide Fundraising Details</t>
  </si>
  <si>
    <t>Pre-Opening Cash Flow</t>
  </si>
  <si>
    <t>TCRS Certified Legacy</t>
  </si>
  <si>
    <t>TCRS Certified Hybrid</t>
  </si>
  <si>
    <t>TCRS Classified Hybrid</t>
  </si>
  <si>
    <t>TCRS Classified Legacy</t>
  </si>
  <si>
    <t>Other Classified Retirement</t>
  </si>
  <si>
    <t>Health Insurance Annual Increase</t>
  </si>
  <si>
    <t>Enter Estimated Percentages</t>
  </si>
  <si>
    <t>Revenue Assumptions</t>
  </si>
  <si>
    <t>Anticipated Enrollment</t>
  </si>
  <si>
    <t>Anticipated Paid %</t>
  </si>
  <si>
    <t>Anticipated Reduced %</t>
  </si>
  <si>
    <t>Anticipated Free %</t>
  </si>
  <si>
    <t>Anticipated Paid Count</t>
  </si>
  <si>
    <t>Anticipated Reduced Count</t>
  </si>
  <si>
    <t>Anticipated Free Count</t>
  </si>
  <si>
    <t>Input financial information into light yellow cells</t>
  </si>
  <si>
    <t>Input assumption information or notes into light green cells</t>
  </si>
  <si>
    <t>Note: These cells auto-populate after completing Tab 2.</t>
  </si>
  <si>
    <t>Bonus</t>
  </si>
  <si>
    <t>5) Years 1-5 Staff Assumptions</t>
  </si>
  <si>
    <t>8) Years 2 through 5 Budget</t>
  </si>
  <si>
    <t>Enter budget details and assumptions for Years 2 through 5</t>
  </si>
  <si>
    <t>Year 2 Through 5 Budget</t>
  </si>
  <si>
    <t>Year 1-5 Staff Assumptions</t>
  </si>
  <si>
    <t>Amount</t>
  </si>
  <si>
    <t>Total Free and Reduced Count</t>
  </si>
  <si>
    <t>Total FTE Count</t>
  </si>
  <si>
    <t>Net Income</t>
  </si>
  <si>
    <t>Starting Fund Balance</t>
  </si>
  <si>
    <t>Ending Fund Balance</t>
  </si>
  <si>
    <t>Other (Specify in Assumptions)</t>
  </si>
  <si>
    <t>Eduacational Assistants/Aides</t>
  </si>
  <si>
    <t>Elective Teachers</t>
  </si>
  <si>
    <t>Operations</t>
  </si>
  <si>
    <t>Principal/School Leader</t>
  </si>
  <si>
    <t>Assistant Principal</t>
  </si>
  <si>
    <t>Deans, Directors</t>
  </si>
  <si>
    <t>Special Education Coordinator</t>
  </si>
  <si>
    <t>Special Education Teachers</t>
  </si>
  <si>
    <t>Teachers</t>
  </si>
  <si>
    <t>Clerical Staff</t>
  </si>
  <si>
    <t>Custodial Staff</t>
  </si>
  <si>
    <t>Social Workers/Counseling</t>
  </si>
  <si>
    <t>Other Non FTE Compensation</t>
  </si>
  <si>
    <t>Year 0 &amp; Years 1 through 5 Summary</t>
  </si>
  <si>
    <t>Template Version 02222017</t>
  </si>
  <si>
    <t>9) Summary</t>
  </si>
  <si>
    <t>Informational; enter a starting fund balance if applicable</t>
  </si>
  <si>
    <t>Note:  This is not a budgeting tool, but rather a standardized format for sharing key budget information for the proposed charter school.  You may add additional worksheets to this workbook to otherwise supplement the information being provided on the existing worksheets.</t>
  </si>
  <si>
    <t>Office Supplies</t>
  </si>
  <si>
    <t>Legal Fees</t>
  </si>
  <si>
    <t>Marketing Materials</t>
  </si>
  <si>
    <t>Staff Recruitment</t>
  </si>
  <si>
    <t>Tenant Improvements</t>
  </si>
  <si>
    <t>Professional Development</t>
  </si>
  <si>
    <t>Bank Charges</t>
  </si>
  <si>
    <t>Postal Charges</t>
  </si>
  <si>
    <t>Audit Services</t>
  </si>
  <si>
    <t>Internet and Phone Service</t>
  </si>
  <si>
    <t>Financial Services</t>
  </si>
  <si>
    <t>Transportation</t>
  </si>
  <si>
    <t>Health Services</t>
  </si>
  <si>
    <t>Printing Paper</t>
  </si>
  <si>
    <t>Testing &amp; Evaluation</t>
  </si>
  <si>
    <t>Student Supplies</t>
  </si>
  <si>
    <t>Student Uniforms</t>
  </si>
  <si>
    <t>Building Decorum</t>
  </si>
  <si>
    <t>Gifts &amp; Awards - Students</t>
  </si>
  <si>
    <t>Library Books</t>
  </si>
  <si>
    <t>Rent</t>
  </si>
  <si>
    <t>Utilities</t>
  </si>
  <si>
    <t xml:space="preserve">Custodial </t>
  </si>
  <si>
    <t>Waste</t>
  </si>
  <si>
    <t>Faculty Furniture</t>
  </si>
  <si>
    <t>Student Furniture</t>
  </si>
  <si>
    <t>Internet/Network Equipment</t>
  </si>
  <si>
    <t>Faculty Laptops</t>
  </si>
  <si>
    <t>Student Laptops</t>
  </si>
  <si>
    <t>IT Services</t>
  </si>
  <si>
    <t>Other Equipment</t>
  </si>
  <si>
    <t>Education Software</t>
  </si>
  <si>
    <t>Copier Lease and Usage</t>
  </si>
  <si>
    <t>Payroll Services</t>
  </si>
  <si>
    <t>Contracted SPED Services</t>
  </si>
  <si>
    <t>Insurance</t>
  </si>
  <si>
    <t>Textbooks and Instructional Supplies</t>
  </si>
  <si>
    <t>Gifts &amp; Awards - Teachers and Staff</t>
  </si>
  <si>
    <t>Faculty Supplies</t>
  </si>
  <si>
    <t>Health Supplies</t>
  </si>
  <si>
    <t>Cell Phone Service</t>
  </si>
  <si>
    <t>Student Recruitment &amp; Community Engagement</t>
  </si>
  <si>
    <t>Parent &amp; Staff Meetings</t>
  </si>
  <si>
    <t>Authorizer Fee</t>
  </si>
  <si>
    <t>Walton Family Foundation</t>
  </si>
  <si>
    <t>Board Commitmment</t>
  </si>
  <si>
    <t>Assumes per employee per calendar year</t>
  </si>
  <si>
    <t>Assumes rate of 1.00% of all wages during pre-opening year</t>
  </si>
  <si>
    <t>N/A for pre-opening year</t>
  </si>
  <si>
    <t>Assumes $300 per employee; HOS @ 10 months and DOO @ 6 months</t>
  </si>
  <si>
    <t>Assumes $75 per employee; HOS @ 10 months and DOO @ 6 months</t>
  </si>
  <si>
    <t>Assumes $25 per employee; HOS @ 10 months and DOO @ 6 months</t>
  </si>
  <si>
    <t>N/A for Pre-opening year</t>
  </si>
  <si>
    <t>Assumes $500 per new FTE Y1 staff</t>
  </si>
  <si>
    <t>Assumes rate of $400 per FTE each operating year</t>
  </si>
  <si>
    <t>Assumes rate 1.45% of all wages each operating year</t>
  </si>
  <si>
    <t>Assumes rate 6.2% of all wages each operating year</t>
  </si>
  <si>
    <t>Assumes $300 per FRL student (90% of 120 in Year 1)</t>
  </si>
  <si>
    <t>Assumes legal fee; one-time retainer fee</t>
  </si>
  <si>
    <t>Assumes $200 per month</t>
  </si>
  <si>
    <t>Assumes $300 per month</t>
  </si>
  <si>
    <t>Assumes 1 bus route</t>
  </si>
  <si>
    <t>Assumes $500 per month and $30 per student for SIS</t>
  </si>
  <si>
    <t>Assumes $8 per enrolled student</t>
  </si>
  <si>
    <t>Assumes $20 per month</t>
  </si>
  <si>
    <t>Assumes $100 per enrolled student for blended learning and online curricular</t>
  </si>
  <si>
    <t xml:space="preserve">Assumes $350 per month </t>
  </si>
  <si>
    <t>Assumes $200 for website maintenance and other marketing campaigns</t>
  </si>
  <si>
    <t>Assumes 1 gift/award per enrolled student</t>
  </si>
  <si>
    <t>Assumes $4 per ream per enrolled student</t>
  </si>
  <si>
    <t>Assumes 1gift/award per Year 1 FTE</t>
  </si>
  <si>
    <t xml:space="preserve">Assumes facilitiy wiring and installation </t>
  </si>
  <si>
    <t xml:space="preserve">Assumes cost of posters, bulletin boards, etc. </t>
  </si>
  <si>
    <t>Assumes $400 per month for min. of 2 parents meetings, staff meetings.</t>
  </si>
  <si>
    <t>Assumes authorizer fee is %3 of BEP; not to exceed $35K</t>
  </si>
  <si>
    <t>LeBaron McClary</t>
  </si>
  <si>
    <t>lmcclary@bes.org</t>
  </si>
  <si>
    <t>901.721.8721</t>
  </si>
  <si>
    <t>Shelby County Schools</t>
  </si>
  <si>
    <t>Kindergarten, First Grade</t>
  </si>
  <si>
    <t xml:space="preserve">N/A </t>
  </si>
  <si>
    <t>N/A</t>
  </si>
  <si>
    <t>Assumes .25% of all wages</t>
  </si>
  <si>
    <t>Assumes 1% of all wages</t>
  </si>
  <si>
    <t>Assumes $4,600 per month</t>
  </si>
  <si>
    <t>Assumes cost for initial audit and 990 filing</t>
  </si>
  <si>
    <t>Assumes $15 per enrolled student</t>
  </si>
  <si>
    <t>Assumes $100 per enrolled student; includes students supplies</t>
  </si>
  <si>
    <t>Assumes $50 per enrolled student for extra-curricular experiences (trips and events)</t>
  </si>
  <si>
    <t xml:space="preserve">Assumes $50 per enrolled student </t>
  </si>
  <si>
    <t>Assumes 3:1 ratio</t>
  </si>
  <si>
    <t>Assumes $900 per FTE minus pre-opening purchases</t>
  </si>
  <si>
    <t>Assumes 2 uniform shirts per enrolled student</t>
  </si>
  <si>
    <t>Assumes $5K per classroom (desk, chairs, tables)</t>
  </si>
  <si>
    <t>Assumes office furniture, cafeteria furniture and performing arts room funiture</t>
  </si>
  <si>
    <t>Assumes $50 per family for retention and recruitment for Year 2 - 60 additional students</t>
  </si>
  <si>
    <t>Assumes $40 per enrolled student</t>
  </si>
  <si>
    <t>Assumes 1K per SPED student</t>
  </si>
  <si>
    <t>NA</t>
  </si>
  <si>
    <t>Assumes $10K BES, $30K STEP training; $5K for other PD expenses</t>
  </si>
  <si>
    <t xml:space="preserve">Assumes 2 copy machines @ $1400 per month </t>
  </si>
  <si>
    <t>Assumes $50 per month per FTE</t>
  </si>
  <si>
    <t>Assumes $8646 per enrolled student; yearly increase of 1.5%</t>
  </si>
  <si>
    <t>Assumes $199 per enrolled student; yearly increase of 1.5%</t>
  </si>
  <si>
    <t>Assumes $300 per enrolled student; yearly increase of 1.5%</t>
  </si>
  <si>
    <t>Assumes $300 per enrolled student categorized as FRL; yearly increase of 1.5%</t>
  </si>
  <si>
    <t>Assumes $150 per enrolled student</t>
  </si>
  <si>
    <t>Assumes max amount; some staff might qualify for hybrid</t>
  </si>
  <si>
    <t>Assumes flate fee of $10K</t>
  </si>
  <si>
    <t>Assumes flate retainer fee of $2K</t>
  </si>
  <si>
    <t>Assumes $1K per student classified as SPED</t>
  </si>
  <si>
    <t>Assumes liability and property insurance and D&amp;O Insurance $125 per enrolled student</t>
  </si>
  <si>
    <t>Assumes $2 per enrolled student</t>
  </si>
  <si>
    <t xml:space="preserve">Assumes $20 per month </t>
  </si>
  <si>
    <t>Assumes $100 per year for general maintenance</t>
  </si>
  <si>
    <t>Assumes $75 per FTE</t>
  </si>
  <si>
    <t>Assumes Board commitment to donate or raise $10K</t>
  </si>
  <si>
    <t>Assumes 2 from MTR @$5K and $5K for other expenses (advertisement and recruitment)</t>
  </si>
  <si>
    <t>Assumes $5 per square foot April - June 2021</t>
  </si>
  <si>
    <t>Assumes $2 per square foot April - June 2021</t>
  </si>
  <si>
    <t>Assumes $325K from WFF</t>
  </si>
  <si>
    <t>Assumes $10K from Board</t>
  </si>
  <si>
    <t xml:space="preserve">Assumes HOS salary </t>
  </si>
  <si>
    <t>Assumes DOO salary</t>
  </si>
  <si>
    <t>Assumes salary of 8 teachers</t>
  </si>
  <si>
    <t>Kindergarten through Eighth Grade</t>
  </si>
  <si>
    <t xml:space="preserve">Assumes no salary needed for July &amp; August due to BES Fellowship; assumes 10-month salary based upon $95,000 annually. </t>
  </si>
  <si>
    <t>Assumes Dean of Operations starts January 2021 based on $60K annual salary.</t>
  </si>
  <si>
    <t>Assumes $50 per month beginning September 2020</t>
  </si>
  <si>
    <t>Assumes 2K per month for accounting services starting in January 2021</t>
  </si>
  <si>
    <t>Assumes BEP Schedule</t>
  </si>
  <si>
    <t>Assumes D&amp;O (Directors and Operations) Insurance</t>
  </si>
  <si>
    <t>Assumes 1 FTE Head of School</t>
  </si>
  <si>
    <t>Assumes 1 FTE Dean of Operations</t>
  </si>
  <si>
    <t>Assumes 1 FTE Arts Teacher</t>
  </si>
  <si>
    <t>Assumes $5 per square ft. plus inflation; growing square footage needs in alignment with enrollment growth</t>
  </si>
  <si>
    <t>Assumes $2 per square ft. plus inflation; growing square footage needs in alignment with enrollment growth</t>
  </si>
  <si>
    <t xml:space="preserve">Assumes 20K donated or raised by Board </t>
  </si>
  <si>
    <t>Assumes 1 FTE Dean of Ops Y1; 2 FTE - Deans of Op and Curric. Ins. Y2; Assumes 3 FTE - Deans of Ops, Student Supports, &amp; Curric. Ins. Y3, Y4, and Y5</t>
  </si>
  <si>
    <t>Assumes 1 FTE Operations Associate will join in Y5</t>
  </si>
  <si>
    <t>Assumes 1 FTE Social Worker will join in Y4</t>
  </si>
  <si>
    <t>Assumes 7 FTE Lead Teachers; 2 SPED certified</t>
  </si>
  <si>
    <t>Assumes $2 basic wear and tear. Initial improvements completed in planning year</t>
  </si>
  <si>
    <t>Assumes $2500 per classroom</t>
  </si>
  <si>
    <t>Assumes $5 per square ft per newly enrolled student; 80 sq ft. per student</t>
  </si>
  <si>
    <t>Assumes $2 per square ft per newly enrolled student; 80 sq ft. per student</t>
  </si>
  <si>
    <t>Assumes $200K dispersed in Y1; $100K dispersed in Y2</t>
  </si>
  <si>
    <t>Assumes $1 per square ft. plus inflation; growing square footage needs in alignment with enrollment growth</t>
  </si>
  <si>
    <t>Assumes receipt of WFF start-up grant upon charter authorization</t>
  </si>
  <si>
    <t>Assumes rate of 6.2% of all wages during pre-opening year</t>
  </si>
  <si>
    <t>Assumes rate of 1.45% of all wages during pre-opening year</t>
  </si>
  <si>
    <t>Assumes BES Follow On Support @ 10K; assumes STEP-Leader Training, Orton Gillingham Training @ 10K</t>
  </si>
  <si>
    <t>Assumes legal rate; one-time retainer fee for legal review of policies</t>
  </si>
  <si>
    <t xml:space="preserve">Assumes $150/month @ 10 months </t>
  </si>
  <si>
    <t>Assumes $900 for each  of 2 staff members</t>
  </si>
  <si>
    <t>Assumes online presence maintenance: website and social media</t>
  </si>
  <si>
    <t xml:space="preserve">Assumes $50 per enrolled student in Y1; includes new student orientation, canvassing, parent meetings, home visit. </t>
  </si>
  <si>
    <t>Assumes STEP kits @ $500 per kit</t>
  </si>
  <si>
    <t>Assumes $40 per month for 10 months</t>
  </si>
  <si>
    <t>Assumes $20 per month for 12 months</t>
  </si>
  <si>
    <t xml:space="preserve">Assumes $100 per month for 12 months </t>
  </si>
  <si>
    <t>Assumes $5 per sq ft of building improvements at 80 square feet per student @ 120 students</t>
  </si>
  <si>
    <t>Assumes HOS salary starting Sept 1, 2020</t>
  </si>
  <si>
    <t>Assumes DOO salary starting Jan 1, 2020</t>
  </si>
  <si>
    <t>Assumes 6.20% of wages</t>
  </si>
  <si>
    <t>Assumes 1.45% of wages</t>
  </si>
  <si>
    <t>Assumes $400 per FTE</t>
  </si>
  <si>
    <t>Assumes 0.25%</t>
  </si>
  <si>
    <t>Assumes 1%</t>
  </si>
  <si>
    <t>Assumes average $300 contribution per FTE per month</t>
  </si>
  <si>
    <t>Assumes average $75 contribution per FTE per month</t>
  </si>
  <si>
    <t>Assumes average $25 contribution per FTE per month</t>
  </si>
  <si>
    <t>Assumes all PD costs</t>
  </si>
  <si>
    <t>Assumes Financial Services starting Jan 1, 2021</t>
  </si>
  <si>
    <t>Assumes Legal Retainer for policy review</t>
  </si>
  <si>
    <t>Assumes 10-month cell phone service for HOS</t>
  </si>
  <si>
    <t>Assumes Payroll Services for 10 months</t>
  </si>
  <si>
    <t>Assumes D&amp;O Insurance</t>
  </si>
  <si>
    <t>Assumes monthly Postal Charges for 10 months</t>
  </si>
  <si>
    <t>Assumes monthly Bank Charges for 10 months</t>
  </si>
  <si>
    <t>Assumes Testing &amp; Evaluation up-front costs</t>
  </si>
  <si>
    <t>Assumes up-front costs of 2 staff laptops</t>
  </si>
  <si>
    <t>Assumes monthly Office Supplies for 10 months</t>
  </si>
  <si>
    <t>Assumes monthly Printing Paper costs for 10 months</t>
  </si>
  <si>
    <t>Assumes montbhly Marketing Materials costs for 10 months</t>
  </si>
  <si>
    <t>Assumes 3 months' Rent Apr 1 - Jun 30, 2021</t>
  </si>
  <si>
    <t>Assumes 3 months' Utilities</t>
  </si>
  <si>
    <t>Assumes costs of Tenant Improvements</t>
  </si>
  <si>
    <t>Assumes costs of Staff Recruitment</t>
  </si>
  <si>
    <t>Assumes costs of Student Recruitment &amp; Community Engagement</t>
  </si>
  <si>
    <t>Assumes HOS begins Y1 @95K w/2.5% COLA in all future years</t>
  </si>
  <si>
    <t>Assumes DOO begins Y1 @60K w/2.5% COLA in all future years</t>
  </si>
  <si>
    <t>Assumes teachers @46K w/ 2.5% COLA in all future years; 1 dually certified teacher in SPED per grade with stipend adjustment</t>
  </si>
  <si>
    <t xml:space="preserve">Assumes in addition to dually certified SPED teadcher in line 59, also assumes another SPED teacher of 1 FTE in Y1; 1 FTE Y2; 3 FTEs in Y3; 4 FTEs in Y4; 5 FTEs in Y5; 2.5% COLA in all future years. </t>
  </si>
  <si>
    <t xml:space="preserve">Assumes 1 FTE Arts Teacher in Y2 @35K; 2FTEs in Y2 and Y3; 4 FTEs in Y4 and 5; 2.5%COLA across all years. </t>
  </si>
  <si>
    <t>Assumes Office Manager @32K w/2.5% COLA in all future years</t>
  </si>
  <si>
    <t>Assumes Operations Associate @$37K in Y5</t>
  </si>
  <si>
    <t>Assumes Social Worker @50K in Y4; 2.5% COLA in all future years</t>
  </si>
  <si>
    <t>Assumes employer contribution of $300 per month per FTE each year; 4% increase each year beginning Y2</t>
  </si>
  <si>
    <t>Assumes employer contribution of $75 per month per FTE each year; 4% increase each year beginning Y2</t>
  </si>
  <si>
    <t>Assumes employer contribution of $25 per month per FTE each year; 4% increase each year beginning Y2</t>
  </si>
  <si>
    <t xml:space="preserve">Assumes $8464 per 120 enrolled student in Y1; per DOE SCS FY19 funding rate Sheet </t>
  </si>
  <si>
    <t xml:space="preserve">Assumes $199 per 120 enrolled student in Y1; per DOE SCS FY19 funding rate Sheet </t>
  </si>
  <si>
    <t xml:space="preserve">Assumes $300 per 120 enrolled student in Y1; per DOE SCS FY19 funding rate Sheet </t>
  </si>
  <si>
    <t>Assumes $150 per student in Y1</t>
  </si>
  <si>
    <t>Assumes $200K dispersed in Y1; $100K deferred to Y2 (Max possible payment of $600K)</t>
  </si>
  <si>
    <t>Assumes 1 additional FTE SPED Teacher</t>
  </si>
  <si>
    <t>Assumes 1 Office Manager</t>
  </si>
  <si>
    <t>Assumes 6.2% of wages</t>
  </si>
  <si>
    <t>Assumes 0.25% of wages</t>
  </si>
  <si>
    <t>Assumes 1% of wages</t>
  </si>
  <si>
    <t>Assumes $50 per month</t>
  </si>
  <si>
    <t>Assumes quartly disbursment</t>
  </si>
  <si>
    <t>Assumes monthly disbursement</t>
  </si>
  <si>
    <t>Assumes initial disbursement</t>
  </si>
  <si>
    <t>Assumes quarterly installments</t>
  </si>
  <si>
    <t>Assumes salary of 1 additional SPED teacher</t>
  </si>
  <si>
    <t>Assumes salary of 1 Arts teacher</t>
  </si>
  <si>
    <t>Assumes salary of Office Manager</t>
  </si>
  <si>
    <t>Assumes verage $75 contribution per FTE per month</t>
  </si>
  <si>
    <t>Assumes monthly PD costs</t>
  </si>
  <si>
    <t>Assumes monthly Financial Services costs</t>
  </si>
  <si>
    <t>Assumes annual Audit Services</t>
  </si>
  <si>
    <t>Assumes annual retainter for Legal Fees</t>
  </si>
  <si>
    <t>Assumes monthly Copier Lease and Usage</t>
  </si>
  <si>
    <t>Assumes monthly Internet and Phone Service</t>
  </si>
  <si>
    <t>Assumes monthly Cell Phone Service</t>
  </si>
  <si>
    <t>Assumes monthly Payroll Services</t>
  </si>
  <si>
    <t>Assumes monthly Health Services for 10 months</t>
  </si>
  <si>
    <t>Assumes monthly Transportation costs for 10 months</t>
  </si>
  <si>
    <t>Assumes monthly IT Services</t>
  </si>
  <si>
    <t>Assumes monthly Contracted SPED Services for 10 months</t>
  </si>
  <si>
    <t>Assumes monthly Insurance costs</t>
  </si>
  <si>
    <t>Assumes monthly Postal Charges</t>
  </si>
  <si>
    <t>Assumes montly Bank Charges</t>
  </si>
  <si>
    <t>Assumes Textbooks and Instructional Supplies</t>
  </si>
  <si>
    <t>Assumes up-front costs for Education Software</t>
  </si>
  <si>
    <t>Assumes up-front costs for Student Supplies</t>
  </si>
  <si>
    <t>Assumes montly costs for Faculty Supplies</t>
  </si>
  <si>
    <t>Assumes up-front costs for Library Books</t>
  </si>
  <si>
    <t>Assumes up-front cost of testing materials</t>
  </si>
  <si>
    <t>Assumes up-front costs of Student Laptops</t>
  </si>
  <si>
    <t>Assumes up-front costs of Faculty Laptops</t>
  </si>
  <si>
    <t>Assumes monthly costs of Office Supplies</t>
  </si>
  <si>
    <t>Assumes monthly costs of Printing Paper</t>
  </si>
  <si>
    <t>Assumes monthly costs of Marketing Materials</t>
  </si>
  <si>
    <t>Assumes up-front costs of Student Uniforms</t>
  </si>
  <si>
    <t>Assumes monthly costs of Gifts &amp; Awards - Students</t>
  </si>
  <si>
    <t>Assumes monthly costs of Gifts &amp; Awards - Teachers and Staff</t>
  </si>
  <si>
    <t>Assumes costs of health supplies</t>
  </si>
  <si>
    <t>Assumes up-front costs of Heatlh Supplies</t>
  </si>
  <si>
    <t>Assumes monthly Rent costs</t>
  </si>
  <si>
    <t>Assumes monthly Utilities costs</t>
  </si>
  <si>
    <t xml:space="preserve">Assumes monthly Custodial costs </t>
  </si>
  <si>
    <t>ssumes monthly Waste costs</t>
  </si>
  <si>
    <t>Assumes up-front Faculty Furniture costs</t>
  </si>
  <si>
    <t>Assumes up-front Student Furniture costs</t>
  </si>
  <si>
    <t>Assumes Internet/Network Equipment monthly costs</t>
  </si>
  <si>
    <t>Assumes up-front Other Equipment costs</t>
  </si>
  <si>
    <t>Assumes up-front Building Decorum costs</t>
  </si>
  <si>
    <t>Assumes up-front Tenant Improvements costs</t>
  </si>
  <si>
    <t>Assumes cyclical Staff Recruitment costs</t>
  </si>
  <si>
    <t>Assumes cyclical Student Recruitment &amp; Community Engagement costs</t>
  </si>
  <si>
    <t>Assumes monthly Parent Meetings costs</t>
  </si>
  <si>
    <t>Assumes Monthly payment</t>
  </si>
  <si>
    <t>Assumes all funds disbursed in planning year, with Net Revenue disbursed in Y1</t>
  </si>
  <si>
    <t xml:space="preserve">Assumes annual Board fundraising activity </t>
  </si>
  <si>
    <t>Assumes 1 FTE Head of School in all years</t>
  </si>
  <si>
    <t>Assumes 7 classroom teachers in Y1; 11 teachers in Y2; 14 teachers in Y3; 17 teachers in Y4; 20 teachers in Y5; Assumes 2 dually certified SPED teachers per grade as part of FTE count</t>
  </si>
  <si>
    <t>Assumes 1 additional SPED teacher Y1 &amp; Y2; 3 additional SPED teachers Y3; 4 additional SPED teachers Y4; 5 additional SPED teachers Y5</t>
  </si>
  <si>
    <t xml:space="preserve">Assumes 1 Arts teachers in Y1 growing to 4 Arts teachers by Y4; 1 Performing Art form (dance, music, theater, and art) </t>
  </si>
  <si>
    <t>Assumes 1 Office Manager in all years</t>
  </si>
  <si>
    <t>Asumes 6.20% of wages</t>
  </si>
  <si>
    <t>Assumes phase-out of BES &amp; STEP training after Y2; $15K per year for PD in all remaining years</t>
  </si>
  <si>
    <t>Assumes consistent rate plus cost of inflation</t>
  </si>
  <si>
    <t>Assumes $1400 per month plus annual 1.50% inflation adjustment</t>
  </si>
  <si>
    <t xml:space="preserve">Assumes $200 per month plus annual 1.50% inflation adjustment </t>
  </si>
  <si>
    <t>Assumes $50 per month plus annual 1.50% inflation adjustment</t>
  </si>
  <si>
    <t>Assumes $300 per month plus annual 1.50% inflation adjustment</t>
  </si>
  <si>
    <t>Assumes $15 per enrolled student plus annual 1.50% inflation adjustment</t>
  </si>
  <si>
    <t>Assumes 1 bus route in Y1-Y3 and 2 bus routes in Y4 &amp; Y5</t>
  </si>
  <si>
    <t>Assumes annual wiring fee plus 1.50% inflation adjustment</t>
  </si>
  <si>
    <t>Assumes $125 per enrolled student plus annual 1.50% inflation adjustment</t>
  </si>
  <si>
    <t>Assumes $100 per enrolled student plus annual 1.50% inflation adjustment</t>
  </si>
  <si>
    <t>Assumes $50 per enrolled student plus annual 1.50% inflation adjustment</t>
  </si>
  <si>
    <t>Assumes $50 per FTE plus annual 1.50% inflation adjustment</t>
  </si>
  <si>
    <t>Assumes $40 per enrolled student plus annual 1.50% inflation adjustment</t>
  </si>
  <si>
    <t>Assumes $250 per computer for newly enrolled students at a 3:1 ration plus annual 1.50% inflation adjustment</t>
  </si>
  <si>
    <t xml:space="preserve">Assumes $900 per computer per new FTE plus annual !.50% inflation adjustment </t>
  </si>
  <si>
    <t xml:space="preserve">Assumes $350 per in-session month plus annual 1.50% inflation adjustment </t>
  </si>
  <si>
    <t xml:space="preserve">Assumes $30 per enrolled student plus annual 1.50% inflation adjustment </t>
  </si>
  <si>
    <t>Assumes $2500 per classroom plus annual 1.50% inflation adjustment</t>
  </si>
  <si>
    <t>Assumes $5000 per classroom plus annual 1.50% inflation adjustment</t>
  </si>
  <si>
    <t>Assumes $8K per year plus annual 1.50% inflation adjustment</t>
  </si>
  <si>
    <t>Assumes 1K for additional arts room furniture plus annual 1.50% inflation adjustment</t>
  </si>
  <si>
    <t>Assumes 1K per year plus annual 1.50% inflation adjustment</t>
  </si>
  <si>
    <t xml:space="preserve">Assumes $2 per sq ft. for basic wear and tear repairs </t>
  </si>
  <si>
    <t>Assumes MTR @$5K and $5 for other expenses (advertisement and recruitment) plus annual 1.50% inflation adjustment</t>
  </si>
  <si>
    <t>Assumes $50 per family for retention and recruitment for Year 2 -5 - 60 additional students plus annual 1.50% inflation adjustment</t>
  </si>
  <si>
    <t>Assumes $400 per month for min. of 2 parents meetings, staff meetings plus annual 1.50% inflation adjustment</t>
  </si>
  <si>
    <t>Assumes authorizer fee is %3 of BEP; not to exceed $35K plus annual 1.50% inflation adjustm,ent</t>
  </si>
  <si>
    <t>Luceo Collegiate School for the Arts Charter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</si>
</sst>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1" formatCode="_(* #,##0_);_(* \(#,##0\);_(* &quot;-&quot;_);_(@_)"/>
    <numFmt numFmtId="44" formatCode="_(&quot;$&quot;* #,##0.00_);_(&quot;$&quot;* \(#,##0.00\);_(&quot;$&quot;* &quot;-&quot;??_);_(@_)"/>
    <numFmt numFmtId="164" formatCode="&quot;$&quot;#,##0"/>
    <numFmt numFmtId="165"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5"/>
      <name val="Calibri"/>
      <family val="2"/>
      <scheme val="minor"/>
    </font>
    <font>
      <sz val="10"/>
      <name val="Verdana"/>
      <family val="2"/>
    </font>
    <font>
      <b/>
      <sz val="11.5"/>
      <color indexed="9"/>
      <name val="Calibri"/>
      <family val="2"/>
      <scheme val="minor"/>
    </font>
    <font>
      <u/>
      <sz val="10"/>
      <color theme="10"/>
      <name val="Arial"/>
      <family val="2"/>
    </font>
    <font>
      <b/>
      <sz val="9"/>
      <color indexed="81"/>
      <name val="Tahoma"/>
      <family val="2"/>
    </font>
    <font>
      <sz val="9"/>
      <color indexed="81"/>
      <name val="Tahoma"/>
      <family val="2"/>
    </font>
    <font>
      <sz val="10"/>
      <name val="Arial"/>
      <family val="2"/>
    </font>
    <font>
      <b/>
      <sz val="14"/>
      <color theme="1"/>
      <name val="Calibri"/>
      <family val="2"/>
      <scheme val="minor"/>
    </font>
    <font>
      <sz val="11"/>
      <name val="Arial"/>
      <family val="2"/>
    </font>
    <font>
      <b/>
      <sz val="11"/>
      <color theme="1"/>
      <name val="Arial"/>
      <family val="2"/>
    </font>
    <font>
      <sz val="11.5"/>
      <color rgb="FF0000FF"/>
      <name val="Calibri"/>
      <family val="2"/>
      <scheme val="minor"/>
    </font>
    <font>
      <sz val="11"/>
      <color rgb="FF0000FF"/>
      <name val="Calibri"/>
      <family val="2"/>
      <scheme val="minor"/>
    </font>
    <font>
      <sz val="11"/>
      <name val="Calibri"/>
      <family val="2"/>
      <scheme val="minor"/>
    </font>
    <font>
      <sz val="11"/>
      <color rgb="FF0000FF"/>
      <name val="Arial"/>
      <family val="2"/>
    </font>
    <font>
      <b/>
      <sz val="11"/>
      <name val="Calibri"/>
      <family val="2"/>
      <scheme val="minor"/>
    </font>
    <font>
      <b/>
      <sz val="11"/>
      <color indexed="9"/>
      <name val="Calibri"/>
      <family val="2"/>
      <scheme val="minor"/>
    </font>
    <font>
      <b/>
      <sz val="11"/>
      <color theme="0"/>
      <name val="Calibri"/>
      <family val="2"/>
      <scheme val="minor"/>
    </font>
    <font>
      <b/>
      <sz val="11"/>
      <color rgb="FF0000FF"/>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right/>
      <top style="thin">
        <color indexed="64"/>
      </top>
      <bottom style="double">
        <color indexed="64"/>
      </bottom>
      <diagonal/>
    </border>
    <border>
      <left/>
      <right/>
      <top/>
      <bottom style="double">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s>
  <cellStyleXfs count="6">
    <xf numFmtId="0" fontId="0" fillId="0" borderId="0"/>
    <xf numFmtId="0" fontId="4" fillId="0" borderId="0"/>
    <xf numFmtId="0" fontId="6" fillId="0" borderId="0" applyNumberFormat="0" applyFill="0" applyBorder="0" applyAlignment="0" applyProtection="0">
      <alignment vertical="top"/>
      <protection locked="0"/>
    </xf>
    <xf numFmtId="0" fontId="1" fillId="0" borderId="0"/>
    <xf numFmtId="0" fontId="9" fillId="0" borderId="0"/>
    <xf numFmtId="44" fontId="1" fillId="0" borderId="0" applyFont="0" applyFill="0" applyBorder="0" applyAlignment="0" applyProtection="0"/>
  </cellStyleXfs>
  <cellXfs count="337">
    <xf numFmtId="0" fontId="0" fillId="0" borderId="0" xfId="0"/>
    <xf numFmtId="0" fontId="11" fillId="0" borderId="0" xfId="4" applyFont="1" applyFill="1" applyBorder="1" applyAlignment="1" applyProtection="1">
      <alignment horizontal="left"/>
    </xf>
    <xf numFmtId="0" fontId="15" fillId="0" borderId="0" xfId="4" applyFont="1" applyFill="1" applyBorder="1" applyAlignment="1" applyProtection="1">
      <alignment horizontal="left"/>
    </xf>
    <xf numFmtId="0" fontId="0" fillId="0" borderId="0" xfId="4" applyFont="1" applyFill="1" applyBorder="1" applyAlignment="1" applyProtection="1">
      <alignment horizontal="left"/>
    </xf>
    <xf numFmtId="0" fontId="17" fillId="0" borderId="0" xfId="4" applyFont="1" applyFill="1" applyBorder="1" applyAlignment="1" applyProtection="1">
      <alignment horizontal="left"/>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10" fillId="0" borderId="0" xfId="0" applyFont="1" applyBorder="1" applyAlignment="1" applyProtection="1">
      <alignment horizontal="center"/>
    </xf>
    <xf numFmtId="0" fontId="0" fillId="0" borderId="0" xfId="0" applyBorder="1" applyAlignment="1" applyProtection="1">
      <alignment horizontal="center" vertical="center" wrapText="1"/>
    </xf>
    <xf numFmtId="0" fontId="6" fillId="0" borderId="6" xfId="2" applyFill="1" applyBorder="1" applyAlignment="1" applyProtection="1">
      <alignment horizontal="left" vertical="top"/>
    </xf>
    <xf numFmtId="0" fontId="3" fillId="0" borderId="6" xfId="0" quotePrefix="1" applyFont="1" applyFill="1" applyBorder="1" applyAlignment="1" applyProtection="1">
      <alignment horizontal="left" vertical="top" wrapText="1"/>
    </xf>
    <xf numFmtId="0" fontId="3" fillId="0" borderId="0" xfId="0" quotePrefix="1" applyFont="1" applyFill="1" applyBorder="1" applyAlignment="1" applyProtection="1">
      <alignment horizontal="left" vertical="top" wrapText="1"/>
    </xf>
    <xf numFmtId="0" fontId="6" fillId="0" borderId="6" xfId="2" quotePrefix="1" applyFill="1" applyBorder="1" applyAlignment="1" applyProtection="1">
      <alignment horizontal="left" vertical="top"/>
    </xf>
    <xf numFmtId="0" fontId="0" fillId="2" borderId="10" xfId="0" applyFill="1" applyBorder="1" applyProtection="1"/>
    <xf numFmtId="0" fontId="0" fillId="3" borderId="10" xfId="0" applyFill="1" applyBorder="1" applyProtection="1"/>
    <xf numFmtId="0" fontId="0" fillId="0" borderId="10" xfId="0" applyBorder="1" applyProtection="1"/>
    <xf numFmtId="0" fontId="0" fillId="0" borderId="0" xfId="0" applyBorder="1" applyAlignment="1" applyProtection="1">
      <alignment horizontal="center"/>
    </xf>
    <xf numFmtId="0" fontId="0" fillId="0" borderId="7" xfId="0" applyBorder="1" applyProtection="1"/>
    <xf numFmtId="0" fontId="0" fillId="0" borderId="8" xfId="0" applyBorder="1" applyProtection="1"/>
    <xf numFmtId="0" fontId="0" fillId="0" borderId="9" xfId="0" applyBorder="1" applyProtection="1"/>
    <xf numFmtId="0" fontId="10" fillId="0" borderId="0" xfId="0" applyFont="1" applyAlignment="1" applyProtection="1">
      <alignment horizontal="center"/>
    </xf>
    <xf numFmtId="0" fontId="1" fillId="0" borderId="0" xfId="3" applyProtection="1"/>
    <xf numFmtId="0" fontId="1" fillId="0" borderId="4" xfId="3" applyBorder="1" applyProtection="1"/>
    <xf numFmtId="0" fontId="1" fillId="0" borderId="0" xfId="3" applyBorder="1" applyProtection="1"/>
    <xf numFmtId="0" fontId="12" fillId="0" borderId="6" xfId="4" applyFont="1" applyBorder="1" applyAlignment="1" applyProtection="1">
      <alignment horizontal="center"/>
    </xf>
    <xf numFmtId="0" fontId="1" fillId="0" borderId="0" xfId="3" applyBorder="1" applyAlignment="1" applyProtection="1">
      <alignment horizontal="center"/>
    </xf>
    <xf numFmtId="0" fontId="0" fillId="0" borderId="4" xfId="3" applyFont="1" applyBorder="1" applyAlignment="1" applyProtection="1">
      <alignment wrapText="1"/>
    </xf>
    <xf numFmtId="0" fontId="1" fillId="0" borderId="4" xfId="3" applyFont="1" applyBorder="1" applyProtection="1"/>
    <xf numFmtId="0" fontId="0" fillId="0" borderId="0" xfId="0" applyFill="1" applyProtection="1"/>
    <xf numFmtId="0" fontId="1" fillId="0" borderId="4" xfId="3" applyFont="1" applyFill="1" applyBorder="1" applyProtection="1"/>
    <xf numFmtId="0" fontId="1" fillId="0" borderId="0" xfId="3" applyFill="1" applyBorder="1" applyProtection="1"/>
    <xf numFmtId="0" fontId="0" fillId="0" borderId="0" xfId="0" applyFill="1" applyBorder="1" applyProtection="1"/>
    <xf numFmtId="0" fontId="14" fillId="0" borderId="0" xfId="3" applyFont="1" applyFill="1" applyBorder="1" applyAlignment="1" applyProtection="1">
      <alignment horizontal="center"/>
    </xf>
    <xf numFmtId="0" fontId="0" fillId="0" borderId="5" xfId="0" applyFill="1" applyBorder="1" applyProtection="1"/>
    <xf numFmtId="0" fontId="2" fillId="0" borderId="4" xfId="3" applyFont="1" applyBorder="1" applyAlignment="1" applyProtection="1">
      <alignment wrapText="1"/>
    </xf>
    <xf numFmtId="0" fontId="2" fillId="0" borderId="0" xfId="3" applyFont="1" applyBorder="1" applyAlignment="1" applyProtection="1">
      <alignment horizontal="center"/>
    </xf>
    <xf numFmtId="0" fontId="2" fillId="0" borderId="4" xfId="0" applyFont="1" applyBorder="1" applyProtection="1"/>
    <xf numFmtId="0" fontId="2" fillId="0" borderId="4" xfId="3" applyFont="1" applyBorder="1" applyProtection="1"/>
    <xf numFmtId="0" fontId="1" fillId="0" borderId="4" xfId="3" applyFill="1" applyBorder="1" applyProtection="1"/>
    <xf numFmtId="0" fontId="1" fillId="0" borderId="0" xfId="3" applyFont="1" applyFill="1" applyBorder="1" applyProtection="1"/>
    <xf numFmtId="0" fontId="2" fillId="0" borderId="4" xfId="3" applyFont="1" applyFill="1" applyBorder="1" applyProtection="1"/>
    <xf numFmtId="1" fontId="2" fillId="0" borderId="0" xfId="3" applyNumberFormat="1" applyFont="1" applyFill="1" applyBorder="1" applyAlignment="1" applyProtection="1">
      <alignment horizontal="center"/>
    </xf>
    <xf numFmtId="0" fontId="0" fillId="0" borderId="4" xfId="3" applyFont="1" applyFill="1" applyBorder="1" applyProtection="1"/>
    <xf numFmtId="1" fontId="1" fillId="0" borderId="0" xfId="3" applyNumberFormat="1" applyFont="1" applyFill="1" applyBorder="1" applyAlignment="1" applyProtection="1">
      <alignment horizontal="center"/>
    </xf>
    <xf numFmtId="0" fontId="0" fillId="0" borderId="4" xfId="3" applyFont="1" applyBorder="1" applyProtection="1"/>
    <xf numFmtId="0" fontId="1" fillId="0" borderId="7" xfId="3" applyFill="1" applyBorder="1" applyProtection="1"/>
    <xf numFmtId="0" fontId="1" fillId="0" borderId="8" xfId="3" applyFill="1" applyBorder="1" applyProtection="1"/>
    <xf numFmtId="9" fontId="1" fillId="0" borderId="8" xfId="3" applyNumberFormat="1" applyFill="1" applyBorder="1" applyAlignment="1" applyProtection="1">
      <alignment horizontal="center"/>
    </xf>
    <xf numFmtId="0" fontId="14" fillId="2" borderId="6" xfId="3" applyFont="1" applyFill="1" applyBorder="1" applyAlignment="1" applyProtection="1">
      <alignment horizontal="center"/>
      <protection locked="0"/>
    </xf>
    <xf numFmtId="9" fontId="14" fillId="2" borderId="6" xfId="3" applyNumberFormat="1" applyFont="1" applyFill="1" applyBorder="1" applyAlignment="1" applyProtection="1">
      <alignment horizontal="center"/>
      <protection locked="0"/>
    </xf>
    <xf numFmtId="0" fontId="0" fillId="0" borderId="2" xfId="0" applyFill="1" applyBorder="1" applyProtection="1"/>
    <xf numFmtId="0" fontId="10" fillId="0" borderId="0" xfId="0" applyFont="1" applyFill="1" applyBorder="1" applyAlignment="1" applyProtection="1">
      <alignment horizontal="center"/>
    </xf>
    <xf numFmtId="0" fontId="12" fillId="0" borderId="0" xfId="4" applyFont="1" applyFill="1" applyBorder="1" applyAlignment="1" applyProtection="1">
      <alignment horizontal="center"/>
    </xf>
    <xf numFmtId="0" fontId="2" fillId="0" borderId="0" xfId="3" applyFont="1" applyBorder="1" applyProtection="1"/>
    <xf numFmtId="10" fontId="14" fillId="2" borderId="6" xfId="3" applyNumberFormat="1" applyFont="1" applyFill="1" applyBorder="1" applyAlignment="1" applyProtection="1">
      <alignment horizontal="center"/>
    </xf>
    <xf numFmtId="10" fontId="14" fillId="0" borderId="0" xfId="3" applyNumberFormat="1" applyFont="1" applyFill="1" applyBorder="1" applyAlignment="1" applyProtection="1">
      <alignment horizontal="center"/>
    </xf>
    <xf numFmtId="0" fontId="0" fillId="0" borderId="0" xfId="3" applyFont="1" applyBorder="1" applyProtection="1"/>
    <xf numFmtId="10" fontId="1" fillId="0" borderId="0" xfId="3" applyNumberFormat="1" applyFont="1" applyFill="1" applyBorder="1" applyAlignment="1" applyProtection="1">
      <alignment horizontal="center"/>
    </xf>
    <xf numFmtId="10" fontId="2" fillId="0" borderId="0" xfId="3" applyNumberFormat="1" applyFont="1" applyFill="1" applyBorder="1" applyAlignment="1" applyProtection="1">
      <alignment horizontal="center"/>
    </xf>
    <xf numFmtId="164" fontId="14" fillId="2" borderId="6" xfId="3" applyNumberFormat="1" applyFont="1" applyFill="1" applyBorder="1" applyAlignment="1" applyProtection="1">
      <alignment horizontal="center"/>
    </xf>
    <xf numFmtId="41" fontId="14" fillId="2" borderId="6" xfId="3" applyNumberFormat="1" applyFont="1" applyFill="1" applyBorder="1" applyAlignment="1" applyProtection="1">
      <alignment horizontal="center"/>
    </xf>
    <xf numFmtId="0" fontId="14" fillId="2" borderId="11" xfId="3" applyFont="1" applyFill="1" applyBorder="1" applyProtection="1"/>
    <xf numFmtId="164" fontId="1" fillId="0" borderId="0" xfId="3" applyNumberFormat="1" applyFill="1" applyBorder="1" applyProtection="1"/>
    <xf numFmtId="41" fontId="14" fillId="0" borderId="0" xfId="3" applyNumberFormat="1" applyFont="1" applyFill="1" applyBorder="1" applyAlignment="1" applyProtection="1">
      <alignment horizontal="center"/>
    </xf>
    <xf numFmtId="0" fontId="2" fillId="0" borderId="0" xfId="3" applyFont="1" applyFill="1" applyBorder="1" applyAlignment="1" applyProtection="1">
      <alignment horizontal="center"/>
    </xf>
    <xf numFmtId="0" fontId="10" fillId="0" borderId="4" xfId="0" applyFont="1" applyBorder="1" applyProtection="1"/>
    <xf numFmtId="41" fontId="2" fillId="0" borderId="12" xfId="0" applyNumberFormat="1" applyFont="1" applyBorder="1" applyAlignment="1" applyProtection="1">
      <alignment horizontal="center"/>
    </xf>
    <xf numFmtId="41" fontId="2" fillId="0" borderId="0" xfId="0" applyNumberFormat="1" applyFont="1" applyFill="1" applyBorder="1" applyAlignment="1" applyProtection="1">
      <alignment horizontal="center"/>
    </xf>
    <xf numFmtId="41" fontId="2" fillId="0" borderId="0" xfId="0" applyNumberFormat="1" applyFont="1" applyBorder="1" applyAlignment="1" applyProtection="1">
      <alignment horizontal="center"/>
    </xf>
    <xf numFmtId="0" fontId="0" fillId="0" borderId="0" xfId="0" applyFill="1" applyBorder="1" applyAlignment="1" applyProtection="1">
      <alignment horizontal="center"/>
    </xf>
    <xf numFmtId="0" fontId="1" fillId="0" borderId="6" xfId="3" applyBorder="1" applyAlignment="1" applyProtection="1">
      <alignment horizontal="center"/>
    </xf>
    <xf numFmtId="0" fontId="1" fillId="0" borderId="0" xfId="3" applyFill="1" applyBorder="1" applyAlignment="1" applyProtection="1">
      <alignment horizontal="center"/>
    </xf>
    <xf numFmtId="0" fontId="14" fillId="0" borderId="0" xfId="3" applyFont="1" applyBorder="1" applyProtection="1"/>
    <xf numFmtId="41" fontId="1" fillId="0" borderId="6" xfId="3" applyNumberFormat="1" applyFont="1" applyFill="1" applyBorder="1" applyAlignment="1" applyProtection="1">
      <alignment horizontal="center"/>
    </xf>
    <xf numFmtId="2" fontId="2" fillId="0" borderId="0" xfId="3" applyNumberFormat="1" applyFont="1" applyBorder="1" applyProtection="1"/>
    <xf numFmtId="41" fontId="2" fillId="0" borderId="6" xfId="3" applyNumberFormat="1" applyFont="1" applyFill="1" applyBorder="1" applyAlignment="1" applyProtection="1">
      <alignment horizontal="center"/>
    </xf>
    <xf numFmtId="41" fontId="2" fillId="0" borderId="0" xfId="3" applyNumberFormat="1" applyFont="1" applyFill="1" applyBorder="1" applyAlignment="1" applyProtection="1">
      <alignment horizontal="center"/>
    </xf>
    <xf numFmtId="2" fontId="1" fillId="0" borderId="0" xfId="3" applyNumberFormat="1" applyBorder="1" applyProtection="1"/>
    <xf numFmtId="41" fontId="1" fillId="0" borderId="0" xfId="3" applyNumberFormat="1" applyFont="1" applyFill="1" applyBorder="1" applyAlignment="1" applyProtection="1">
      <alignment horizontal="center"/>
    </xf>
    <xf numFmtId="0" fontId="2" fillId="0" borderId="0" xfId="3" applyFont="1" applyFill="1" applyBorder="1" applyProtection="1"/>
    <xf numFmtId="0" fontId="10" fillId="0" borderId="4" xfId="3" applyFont="1" applyBorder="1" applyAlignment="1" applyProtection="1">
      <alignment wrapText="1"/>
    </xf>
    <xf numFmtId="0" fontId="0" fillId="0" borderId="8" xfId="0" applyFill="1" applyBorder="1" applyProtection="1"/>
    <xf numFmtId="164" fontId="14" fillId="2" borderId="6" xfId="3" applyNumberFormat="1" applyFont="1" applyFill="1" applyBorder="1" applyAlignment="1" applyProtection="1">
      <alignment horizontal="center"/>
      <protection locked="0"/>
    </xf>
    <xf numFmtId="41" fontId="14" fillId="2" borderId="6" xfId="3" applyNumberFormat="1" applyFont="1" applyFill="1" applyBorder="1" applyAlignment="1" applyProtection="1">
      <alignment horizontal="center"/>
      <protection locked="0"/>
    </xf>
    <xf numFmtId="0" fontId="14" fillId="2" borderId="11" xfId="3" applyFont="1" applyFill="1" applyBorder="1" applyProtection="1">
      <protection locked="0"/>
    </xf>
    <xf numFmtId="2" fontId="14" fillId="2" borderId="6" xfId="3" applyNumberFormat="1" applyFont="1" applyFill="1" applyBorder="1" applyProtection="1">
      <protection locked="0"/>
    </xf>
    <xf numFmtId="10" fontId="14" fillId="2" borderId="6" xfId="3" applyNumberFormat="1" applyFont="1" applyFill="1" applyBorder="1" applyAlignment="1" applyProtection="1">
      <alignment horizontal="center"/>
      <protection locked="0"/>
    </xf>
    <xf numFmtId="0" fontId="0" fillId="0" borderId="0" xfId="0" applyFont="1" applyProtection="1"/>
    <xf numFmtId="0" fontId="0" fillId="0" borderId="1" xfId="0" applyFont="1" applyBorder="1" applyProtection="1"/>
    <xf numFmtId="0" fontId="0" fillId="0" borderId="2" xfId="0" applyFont="1" applyBorder="1" applyProtection="1"/>
    <xf numFmtId="0" fontId="0" fillId="0" borderId="3" xfId="0" applyFont="1" applyBorder="1" applyProtection="1"/>
    <xf numFmtId="0" fontId="0" fillId="0" borderId="4" xfId="0" applyFont="1" applyBorder="1" applyProtection="1"/>
    <xf numFmtId="0" fontId="0" fillId="0" borderId="0" xfId="0" applyFont="1" applyBorder="1" applyProtection="1"/>
    <xf numFmtId="0" fontId="2" fillId="0" borderId="0" xfId="0" applyFont="1" applyBorder="1" applyAlignment="1" applyProtection="1">
      <alignment horizontal="center"/>
    </xf>
    <xf numFmtId="0" fontId="0" fillId="0" borderId="5" xfId="0" applyFont="1" applyBorder="1" applyProtection="1"/>
    <xf numFmtId="0" fontId="0" fillId="3" borderId="0" xfId="0" applyFont="1" applyFill="1" applyBorder="1" applyAlignment="1" applyProtection="1"/>
    <xf numFmtId="0" fontId="0" fillId="0" borderId="0" xfId="3" applyFont="1" applyProtection="1"/>
    <xf numFmtId="0" fontId="2" fillId="0" borderId="13" xfId="4" applyFont="1" applyBorder="1" applyAlignment="1" applyProtection="1">
      <alignment horizontal="center"/>
    </xf>
    <xf numFmtId="0" fontId="2" fillId="0" borderId="0" xfId="4" applyFont="1" applyBorder="1" applyAlignment="1" applyProtection="1">
      <alignment horizontal="center"/>
    </xf>
    <xf numFmtId="0" fontId="1" fillId="0" borderId="6" xfId="4" applyFont="1" applyBorder="1" applyAlignment="1" applyProtection="1">
      <alignment horizontal="center"/>
    </xf>
    <xf numFmtId="0" fontId="0" fillId="0" borderId="0" xfId="3" applyFont="1" applyFill="1" applyBorder="1" applyProtection="1"/>
    <xf numFmtId="10" fontId="0" fillId="0" borderId="6" xfId="3" applyNumberFormat="1" applyFont="1" applyFill="1" applyBorder="1" applyAlignment="1" applyProtection="1">
      <alignment horizontal="center"/>
    </xf>
    <xf numFmtId="10" fontId="0" fillId="0" borderId="0" xfId="3" applyNumberFormat="1" applyFont="1" applyFill="1" applyBorder="1" applyAlignment="1" applyProtection="1">
      <alignment horizontal="center"/>
    </xf>
    <xf numFmtId="0" fontId="0" fillId="0" borderId="0" xfId="0" applyFont="1" applyFill="1" applyBorder="1" applyProtection="1"/>
    <xf numFmtId="0" fontId="0" fillId="0" borderId="5" xfId="0" applyFont="1" applyFill="1" applyBorder="1" applyProtection="1"/>
    <xf numFmtId="41" fontId="0" fillId="0" borderId="0" xfId="3" applyNumberFormat="1" applyFont="1" applyFill="1" applyBorder="1" applyAlignment="1" applyProtection="1">
      <alignment horizontal="center"/>
    </xf>
    <xf numFmtId="41" fontId="0" fillId="0" borderId="14" xfId="3" applyNumberFormat="1" applyFont="1" applyFill="1" applyBorder="1" applyAlignment="1" applyProtection="1">
      <alignment horizontal="center"/>
    </xf>
    <xf numFmtId="41" fontId="2" fillId="0" borderId="12" xfId="3" applyNumberFormat="1" applyFont="1" applyFill="1" applyBorder="1" applyAlignment="1" applyProtection="1">
      <alignment horizontal="center"/>
    </xf>
    <xf numFmtId="164" fontId="14" fillId="0" borderId="0" xfId="3" applyNumberFormat="1" applyFont="1" applyFill="1" applyBorder="1" applyAlignment="1" applyProtection="1">
      <alignment horizontal="center"/>
    </xf>
    <xf numFmtId="164" fontId="0" fillId="0" borderId="0" xfId="3" applyNumberFormat="1" applyFont="1" applyFill="1" applyBorder="1" applyProtection="1"/>
    <xf numFmtId="41" fontId="0" fillId="0" borderId="6" xfId="3" applyNumberFormat="1" applyFont="1" applyFill="1" applyBorder="1" applyAlignment="1" applyProtection="1">
      <alignment horizontal="center"/>
    </xf>
    <xf numFmtId="0" fontId="0" fillId="0" borderId="0" xfId="0" applyFont="1" applyFill="1" applyProtection="1"/>
    <xf numFmtId="0" fontId="2" fillId="0" borderId="4" xfId="0" applyFont="1" applyFill="1" applyBorder="1" applyProtection="1"/>
    <xf numFmtId="0" fontId="0" fillId="0" borderId="0" xfId="0" applyFont="1" applyBorder="1" applyAlignment="1" applyProtection="1">
      <alignment horizontal="center"/>
    </xf>
    <xf numFmtId="0" fontId="0" fillId="0" borderId="4" xfId="0" applyFont="1" applyFill="1" applyBorder="1" applyProtection="1"/>
    <xf numFmtId="0" fontId="2" fillId="0" borderId="6" xfId="4" applyFont="1" applyBorder="1" applyAlignment="1" applyProtection="1">
      <alignment horizontal="center"/>
    </xf>
    <xf numFmtId="0" fontId="0" fillId="0" borderId="6" xfId="3" applyFont="1" applyBorder="1" applyAlignment="1" applyProtection="1">
      <alignment horizontal="center"/>
    </xf>
    <xf numFmtId="0" fontId="0" fillId="0" borderId="0" xfId="3" applyFont="1" applyBorder="1" applyAlignment="1" applyProtection="1">
      <alignment horizontal="center"/>
    </xf>
    <xf numFmtId="0" fontId="2" fillId="0" borderId="4" xfId="3" applyFont="1" applyFill="1" applyBorder="1" applyAlignment="1" applyProtection="1">
      <alignment wrapText="1"/>
    </xf>
    <xf numFmtId="0" fontId="0" fillId="0" borderId="4" xfId="3" applyFont="1" applyFill="1" applyBorder="1" applyAlignment="1" applyProtection="1">
      <alignment wrapText="1"/>
    </xf>
    <xf numFmtId="2" fontId="0" fillId="0" borderId="0" xfId="3" applyNumberFormat="1" applyFont="1" applyFill="1" applyBorder="1" applyProtection="1"/>
    <xf numFmtId="2" fontId="2" fillId="0" borderId="0" xfId="3" applyNumberFormat="1" applyFont="1" applyFill="1" applyBorder="1" applyProtection="1"/>
    <xf numFmtId="0" fontId="2" fillId="0" borderId="0" xfId="0" applyFont="1" applyBorder="1" applyProtection="1"/>
    <xf numFmtId="2" fontId="0" fillId="0" borderId="0" xfId="3" applyNumberFormat="1" applyFont="1" applyBorder="1" applyProtection="1"/>
    <xf numFmtId="0" fontId="0" fillId="0" borderId="6" xfId="4" applyFont="1" applyBorder="1" applyAlignment="1" applyProtection="1">
      <alignment horizontal="center"/>
    </xf>
    <xf numFmtId="41" fontId="0" fillId="0" borderId="0" xfId="3" applyNumberFormat="1" applyFont="1" applyBorder="1" applyProtection="1"/>
    <xf numFmtId="164" fontId="0" fillId="0" borderId="0" xfId="3" applyNumberFormat="1" applyFont="1" applyFill="1" applyBorder="1" applyAlignment="1" applyProtection="1">
      <alignment horizontal="center"/>
    </xf>
    <xf numFmtId="0" fontId="0" fillId="0" borderId="7" xfId="0" applyFont="1" applyBorder="1" applyProtection="1"/>
    <xf numFmtId="0" fontId="0" fillId="0" borderId="8" xfId="0" applyFont="1" applyBorder="1" applyProtection="1"/>
    <xf numFmtId="0" fontId="0" fillId="0" borderId="9" xfId="0" applyFont="1" applyBorder="1" applyProtection="1"/>
    <xf numFmtId="41" fontId="2" fillId="0" borderId="6" xfId="3" applyNumberFormat="1" applyFont="1" applyFill="1" applyBorder="1" applyAlignment="1" applyProtection="1">
      <alignment horizontal="center"/>
      <protection locked="0"/>
    </xf>
    <xf numFmtId="41" fontId="0" fillId="0" borderId="0" xfId="3" applyNumberFormat="1" applyFont="1" applyFill="1" applyBorder="1" applyAlignment="1" applyProtection="1">
      <alignment horizontal="center"/>
      <protection locked="0"/>
    </xf>
    <xf numFmtId="2" fontId="0" fillId="0" borderId="0" xfId="3" applyNumberFormat="1" applyFont="1" applyBorder="1" applyProtection="1">
      <protection locked="0"/>
    </xf>
    <xf numFmtId="0" fontId="12" fillId="0" borderId="0" xfId="4" applyFont="1" applyBorder="1" applyAlignment="1" applyProtection="1">
      <alignment horizontal="center"/>
    </xf>
    <xf numFmtId="41" fontId="2" fillId="0" borderId="0" xfId="3" applyNumberFormat="1" applyFont="1" applyBorder="1" applyAlignment="1" applyProtection="1">
      <alignment horizontal="center"/>
    </xf>
    <xf numFmtId="41" fontId="1" fillId="0" borderId="0" xfId="3" applyNumberFormat="1" applyBorder="1" applyAlignment="1" applyProtection="1">
      <alignment horizontal="center"/>
    </xf>
    <xf numFmtId="0" fontId="19" fillId="3" borderId="0" xfId="3" applyFont="1" applyFill="1" applyBorder="1" applyAlignment="1" applyProtection="1">
      <alignment horizontal="center" wrapText="1"/>
    </xf>
    <xf numFmtId="2" fontId="14" fillId="2" borderId="6" xfId="3" applyNumberFormat="1" applyFont="1" applyFill="1" applyBorder="1" applyAlignment="1" applyProtection="1">
      <alignment horizontal="center"/>
      <protection locked="0"/>
    </xf>
    <xf numFmtId="10" fontId="0" fillId="2" borderId="6" xfId="3" applyNumberFormat="1" applyFont="1" applyFill="1" applyBorder="1" applyAlignment="1" applyProtection="1">
      <alignment horizontal="center"/>
    </xf>
    <xf numFmtId="0" fontId="1" fillId="0" borderId="4" xfId="3" applyFont="1" applyBorder="1" applyAlignment="1" applyProtection="1">
      <alignment wrapText="1"/>
      <protection locked="0"/>
    </xf>
    <xf numFmtId="0" fontId="0" fillId="0" borderId="4" xfId="0" applyFill="1" applyBorder="1" applyProtection="1"/>
    <xf numFmtId="0" fontId="0" fillId="4" borderId="10" xfId="0" applyFill="1" applyBorder="1" applyProtection="1"/>
    <xf numFmtId="0" fontId="0" fillId="0" borderId="6" xfId="0" applyBorder="1" applyAlignment="1" applyProtection="1">
      <alignment horizontal="center"/>
    </xf>
    <xf numFmtId="0" fontId="2" fillId="0" borderId="6" xfId="3" applyFont="1" applyBorder="1" applyAlignment="1" applyProtection="1">
      <alignment horizontal="center"/>
    </xf>
    <xf numFmtId="9" fontId="1" fillId="0" borderId="6" xfId="3" applyNumberFormat="1" applyFill="1" applyBorder="1" applyAlignment="1" applyProtection="1">
      <alignment horizontal="center"/>
    </xf>
    <xf numFmtId="0" fontId="2" fillId="0" borderId="6" xfId="0" applyFont="1" applyBorder="1" applyAlignment="1" applyProtection="1">
      <alignment horizontal="center"/>
    </xf>
    <xf numFmtId="2" fontId="2" fillId="0" borderId="6" xfId="3" applyNumberFormat="1" applyFont="1" applyBorder="1" applyAlignment="1" applyProtection="1">
      <alignment horizontal="center"/>
    </xf>
    <xf numFmtId="41" fontId="2" fillId="0" borderId="6" xfId="3" applyNumberFormat="1" applyFont="1" applyBorder="1" applyAlignment="1" applyProtection="1">
      <alignment horizontal="center"/>
    </xf>
    <xf numFmtId="41" fontId="14" fillId="0" borderId="0" xfId="3" applyNumberFormat="1"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14" fillId="0" borderId="0" xfId="3" applyFont="1" applyFill="1" applyBorder="1" applyAlignment="1" applyProtection="1">
      <alignment horizontal="center"/>
      <protection locked="0"/>
    </xf>
    <xf numFmtId="9" fontId="14" fillId="0" borderId="0" xfId="3" applyNumberFormat="1" applyFont="1" applyFill="1" applyBorder="1" applyAlignment="1" applyProtection="1">
      <alignment horizontal="center"/>
      <protection locked="0"/>
    </xf>
    <xf numFmtId="9" fontId="1" fillId="0" borderId="0" xfId="3" applyNumberFormat="1" applyFill="1" applyBorder="1" applyAlignment="1" applyProtection="1">
      <alignment horizontal="center"/>
    </xf>
    <xf numFmtId="2" fontId="14" fillId="0" borderId="0" xfId="3" applyNumberFormat="1" applyFont="1" applyFill="1" applyBorder="1" applyAlignment="1" applyProtection="1">
      <alignment horizontal="center"/>
      <protection locked="0"/>
    </xf>
    <xf numFmtId="2" fontId="2" fillId="0" borderId="0" xfId="3" applyNumberFormat="1" applyFont="1" applyFill="1" applyBorder="1" applyAlignment="1" applyProtection="1">
      <alignment horizontal="center"/>
    </xf>
    <xf numFmtId="41" fontId="1" fillId="0" borderId="0" xfId="3" applyNumberFormat="1" applyFill="1" applyBorder="1" applyAlignment="1" applyProtection="1">
      <alignment horizontal="center"/>
    </xf>
    <xf numFmtId="10" fontId="14" fillId="0" borderId="0" xfId="3" applyNumberFormat="1" applyFont="1" applyFill="1" applyBorder="1" applyAlignment="1" applyProtection="1">
      <alignment horizontal="center"/>
      <protection locked="0"/>
    </xf>
    <xf numFmtId="41" fontId="16" fillId="0" borderId="0" xfId="4" applyNumberFormat="1" applyFont="1" applyFill="1" applyBorder="1" applyAlignment="1" applyProtection="1">
      <alignment horizontal="center"/>
      <protection locked="0"/>
    </xf>
    <xf numFmtId="0" fontId="0" fillId="0" borderId="0" xfId="3" applyFont="1" applyFill="1" applyBorder="1" applyAlignment="1" applyProtection="1">
      <alignment horizontal="center"/>
    </xf>
    <xf numFmtId="0" fontId="2" fillId="0" borderId="0" xfId="4" applyFont="1" applyFill="1" applyBorder="1" applyAlignment="1" applyProtection="1">
      <alignment horizontal="center"/>
    </xf>
    <xf numFmtId="41" fontId="14" fillId="4" borderId="6" xfId="3" applyNumberFormat="1" applyFont="1" applyFill="1" applyBorder="1" applyAlignment="1" applyProtection="1">
      <alignment horizontal="left"/>
      <protection locked="0"/>
    </xf>
    <xf numFmtId="41" fontId="0"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xf>
    <xf numFmtId="41" fontId="2" fillId="0" borderId="0" xfId="3" applyNumberFormat="1" applyFont="1" applyFill="1" applyBorder="1" applyAlignment="1" applyProtection="1">
      <alignment horizontal="left"/>
    </xf>
    <xf numFmtId="41" fontId="1" fillId="0" borderId="0" xfId="3" applyNumberFormat="1" applyFont="1" applyFill="1" applyBorder="1" applyAlignment="1" applyProtection="1">
      <alignment horizontal="left"/>
    </xf>
    <xf numFmtId="2" fontId="1" fillId="0" borderId="0" xfId="3" applyNumberFormat="1" applyBorder="1" applyAlignment="1" applyProtection="1">
      <alignment horizontal="left"/>
    </xf>
    <xf numFmtId="41" fontId="2" fillId="0" borderId="0" xfId="0" applyNumberFormat="1" applyFont="1" applyFill="1" applyBorder="1" applyAlignment="1" applyProtection="1">
      <alignment horizontal="left"/>
    </xf>
    <xf numFmtId="41" fontId="14" fillId="0" borderId="6" xfId="3" applyNumberFormat="1" applyFont="1" applyFill="1" applyBorder="1" applyAlignment="1" applyProtection="1">
      <alignment horizontal="left"/>
    </xf>
    <xf numFmtId="41" fontId="1"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protection locked="0"/>
    </xf>
    <xf numFmtId="41" fontId="1" fillId="0" borderId="0" xfId="3" applyNumberFormat="1" applyFont="1" applyFill="1" applyBorder="1" applyAlignment="1" applyProtection="1">
      <alignment horizontal="left"/>
      <protection locked="0"/>
    </xf>
    <xf numFmtId="41" fontId="2" fillId="0" borderId="0" xfId="3" applyNumberFormat="1" applyFont="1" applyFill="1" applyBorder="1" applyAlignment="1" applyProtection="1">
      <alignment horizontal="left"/>
      <protection locked="0"/>
    </xf>
    <xf numFmtId="41" fontId="0" fillId="0" borderId="0" xfId="3" applyNumberFormat="1" applyFont="1" applyFill="1" applyBorder="1" applyAlignment="1" applyProtection="1">
      <alignment horizontal="left"/>
      <protection locked="0"/>
    </xf>
    <xf numFmtId="2" fontId="0" fillId="0" borderId="0" xfId="3" applyNumberFormat="1" applyFont="1" applyFill="1" applyBorder="1" applyAlignment="1" applyProtection="1">
      <alignment horizontal="left"/>
      <protection locked="0"/>
    </xf>
    <xf numFmtId="41" fontId="2" fillId="0" borderId="0" xfId="4" applyNumberFormat="1" applyFont="1" applyBorder="1" applyAlignment="1" applyProtection="1">
      <alignment horizontal="center"/>
    </xf>
    <xf numFmtId="41" fontId="2" fillId="0" borderId="15" xfId="4" applyNumberFormat="1" applyFont="1" applyBorder="1" applyAlignment="1" applyProtection="1">
      <alignment horizontal="center"/>
    </xf>
    <xf numFmtId="0" fontId="0" fillId="0" borderId="7" xfId="3" applyFont="1" applyBorder="1" applyProtection="1"/>
    <xf numFmtId="41" fontId="0" fillId="0" borderId="0" xfId="0" applyNumberFormat="1" applyBorder="1" applyProtection="1"/>
    <xf numFmtId="0" fontId="0" fillId="0" borderId="0" xfId="0" applyBorder="1" applyAlignment="1" applyProtection="1">
      <alignment horizontal="center"/>
    </xf>
    <xf numFmtId="0" fontId="10" fillId="0" borderId="0" xfId="0" applyFont="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0" fillId="0" borderId="0" xfId="0" applyFont="1" applyBorder="1" applyAlignment="1" applyProtection="1"/>
    <xf numFmtId="0" fontId="2" fillId="0" borderId="7" xfId="3" applyFont="1" applyBorder="1" applyProtection="1"/>
    <xf numFmtId="0" fontId="1" fillId="0" borderId="8" xfId="3" applyBorder="1" applyProtection="1"/>
    <xf numFmtId="0" fontId="2" fillId="0" borderId="8" xfId="3" applyFont="1" applyFill="1" applyBorder="1" applyAlignment="1" applyProtection="1">
      <alignment horizontal="center"/>
    </xf>
    <xf numFmtId="0" fontId="2" fillId="0" borderId="8" xfId="3" applyFont="1" applyBorder="1" applyAlignment="1" applyProtection="1">
      <alignment horizontal="center"/>
    </xf>
    <xf numFmtId="0" fontId="1" fillId="0" borderId="1" xfId="3" applyBorder="1" applyProtection="1"/>
    <xf numFmtId="0" fontId="1" fillId="0" borderId="2" xfId="3" applyBorder="1" applyProtection="1"/>
    <xf numFmtId="0" fontId="1" fillId="0" borderId="2" xfId="3" applyBorder="1" applyAlignment="1" applyProtection="1">
      <alignment horizontal="center"/>
    </xf>
    <xf numFmtId="0" fontId="10" fillId="0" borderId="7" xfId="0" applyFont="1" applyBorder="1" applyProtection="1"/>
    <xf numFmtId="41" fontId="14" fillId="0" borderId="17" xfId="3" applyNumberFormat="1" applyFont="1" applyFill="1" applyBorder="1" applyAlignment="1" applyProtection="1">
      <alignment horizontal="center"/>
    </xf>
    <xf numFmtId="0" fontId="2" fillId="0" borderId="1" xfId="0" applyFont="1" applyBorder="1" applyProtection="1"/>
    <xf numFmtId="0" fontId="0" fillId="0" borderId="2" xfId="0" applyBorder="1" applyAlignment="1" applyProtection="1">
      <alignment horizontal="center"/>
    </xf>
    <xf numFmtId="0" fontId="0" fillId="0" borderId="2" xfId="0" applyFill="1" applyBorder="1" applyAlignment="1" applyProtection="1">
      <alignment horizontal="center"/>
    </xf>
    <xf numFmtId="0" fontId="1" fillId="0" borderId="7" xfId="3" applyBorder="1" applyProtection="1"/>
    <xf numFmtId="0" fontId="1" fillId="0" borderId="8" xfId="3" applyBorder="1" applyAlignment="1" applyProtection="1">
      <alignment horizontal="center"/>
    </xf>
    <xf numFmtId="0" fontId="1" fillId="0" borderId="8" xfId="3" applyFill="1" applyBorder="1" applyAlignment="1" applyProtection="1">
      <alignment horizontal="center"/>
    </xf>
    <xf numFmtId="0" fontId="2" fillId="0" borderId="7" xfId="3" applyFont="1" applyBorder="1" applyAlignment="1" applyProtection="1">
      <alignment wrapText="1"/>
    </xf>
    <xf numFmtId="0" fontId="2" fillId="0" borderId="8" xfId="3" applyFont="1" applyBorder="1" applyProtection="1"/>
    <xf numFmtId="41" fontId="2" fillId="0" borderId="8" xfId="0" applyNumberFormat="1" applyFont="1" applyBorder="1" applyAlignment="1" applyProtection="1">
      <alignment horizontal="center"/>
    </xf>
    <xf numFmtId="41" fontId="2" fillId="0" borderId="8" xfId="0" applyNumberFormat="1" applyFont="1" applyFill="1" applyBorder="1" applyAlignment="1" applyProtection="1">
      <alignment horizontal="center"/>
    </xf>
    <xf numFmtId="0" fontId="1" fillId="0" borderId="2" xfId="3" applyFill="1" applyBorder="1" applyAlignment="1" applyProtection="1">
      <alignment horizontal="center"/>
    </xf>
    <xf numFmtId="0" fontId="2" fillId="0" borderId="1" xfId="3" applyFont="1" applyBorder="1" applyAlignment="1" applyProtection="1">
      <alignment wrapText="1"/>
    </xf>
    <xf numFmtId="0" fontId="2" fillId="0" borderId="2" xfId="3" applyFont="1" applyBorder="1" applyProtection="1"/>
    <xf numFmtId="41" fontId="2" fillId="0" borderId="2" xfId="0" applyNumberFormat="1" applyFont="1" applyBorder="1" applyAlignment="1" applyProtection="1">
      <alignment horizontal="center"/>
    </xf>
    <xf numFmtId="41" fontId="2" fillId="0" borderId="2" xfId="0" applyNumberFormat="1" applyFont="1" applyFill="1" applyBorder="1" applyAlignment="1" applyProtection="1">
      <alignment horizontal="center"/>
    </xf>
    <xf numFmtId="41" fontId="2" fillId="0" borderId="8" xfId="0" applyNumberFormat="1" applyFont="1" applyFill="1" applyBorder="1" applyAlignment="1" applyProtection="1">
      <alignment horizontal="left"/>
    </xf>
    <xf numFmtId="41" fontId="2" fillId="0" borderId="2" xfId="0" applyNumberFormat="1" applyFont="1" applyFill="1" applyBorder="1" applyAlignment="1" applyProtection="1">
      <alignment horizontal="left"/>
    </xf>
    <xf numFmtId="0" fontId="0" fillId="0" borderId="1" xfId="3" applyFont="1" applyBorder="1" applyProtection="1"/>
    <xf numFmtId="0" fontId="0" fillId="0" borderId="2" xfId="3" applyFont="1" applyBorder="1" applyProtection="1"/>
    <xf numFmtId="0" fontId="15" fillId="0" borderId="2" xfId="4" applyFont="1" applyFill="1" applyBorder="1" applyAlignment="1" applyProtection="1">
      <alignment horizontal="left"/>
    </xf>
    <xf numFmtId="10" fontId="0" fillId="0" borderId="2" xfId="3" applyNumberFormat="1" applyFont="1" applyFill="1" applyBorder="1" applyAlignment="1" applyProtection="1">
      <alignment horizontal="center"/>
    </xf>
    <xf numFmtId="0" fontId="2" fillId="0" borderId="7" xfId="0" applyFont="1" applyFill="1" applyBorder="1" applyProtection="1"/>
    <xf numFmtId="0" fontId="0" fillId="0" borderId="8" xfId="0" applyFont="1" applyFill="1" applyBorder="1" applyProtection="1"/>
    <xf numFmtId="0" fontId="0" fillId="0" borderId="8" xfId="0" applyFont="1" applyBorder="1" applyAlignment="1" applyProtection="1">
      <alignment horizontal="center"/>
    </xf>
    <xf numFmtId="0" fontId="0" fillId="0" borderId="8" xfId="3" applyFont="1" applyBorder="1" applyProtection="1"/>
    <xf numFmtId="0" fontId="15" fillId="0" borderId="8" xfId="4" applyFont="1" applyFill="1" applyBorder="1" applyAlignment="1" applyProtection="1">
      <alignment horizontal="left"/>
    </xf>
    <xf numFmtId="10" fontId="0" fillId="0" borderId="8" xfId="3" applyNumberFormat="1" applyFont="1" applyFill="1" applyBorder="1" applyAlignment="1" applyProtection="1">
      <alignment horizontal="center"/>
    </xf>
    <xf numFmtId="0" fontId="0" fillId="0" borderId="1" xfId="0" applyFont="1" applyFill="1" applyBorder="1" applyProtection="1"/>
    <xf numFmtId="0" fontId="0" fillId="0" borderId="2" xfId="0" applyFont="1" applyFill="1" applyBorder="1" applyProtection="1"/>
    <xf numFmtId="0" fontId="0" fillId="0" borderId="2" xfId="0" applyFont="1" applyBorder="1" applyAlignment="1" applyProtection="1">
      <alignment horizontal="center"/>
    </xf>
    <xf numFmtId="0" fontId="2" fillId="0" borderId="7" xfId="3" applyFont="1" applyFill="1" applyBorder="1" applyAlignment="1" applyProtection="1">
      <alignment wrapText="1"/>
    </xf>
    <xf numFmtId="0" fontId="2" fillId="0" borderId="1" xfId="3" applyFont="1" applyFill="1" applyBorder="1" applyAlignment="1" applyProtection="1">
      <alignment wrapText="1"/>
    </xf>
    <xf numFmtId="0" fontId="2" fillId="0" borderId="8" xfId="3" applyFont="1" applyFill="1" applyBorder="1" applyProtection="1"/>
    <xf numFmtId="0" fontId="2" fillId="0" borderId="2" xfId="3" applyFont="1" applyFill="1" applyBorder="1" applyProtection="1"/>
    <xf numFmtId="41" fontId="2" fillId="0" borderId="16" xfId="3" applyNumberFormat="1" applyFont="1" applyBorder="1" applyAlignment="1" applyProtection="1">
      <alignment horizontal="center"/>
    </xf>
    <xf numFmtId="41" fontId="2" fillId="0" borderId="8" xfId="3" applyNumberFormat="1" applyFont="1" applyFill="1" applyBorder="1" applyAlignment="1" applyProtection="1">
      <alignment horizontal="center"/>
    </xf>
    <xf numFmtId="0" fontId="11" fillId="0" borderId="2" xfId="4" applyFont="1" applyFill="1" applyBorder="1" applyAlignment="1" applyProtection="1">
      <alignment horizontal="left"/>
    </xf>
    <xf numFmtId="0" fontId="12" fillId="0" borderId="2" xfId="4" applyFont="1" applyBorder="1" applyAlignment="1" applyProtection="1">
      <alignment horizontal="center"/>
    </xf>
    <xf numFmtId="2" fontId="2" fillId="0" borderId="16" xfId="3" applyNumberFormat="1" applyFont="1" applyBorder="1" applyAlignment="1" applyProtection="1">
      <alignment horizontal="center"/>
    </xf>
    <xf numFmtId="2" fontId="2" fillId="0" borderId="8" xfId="3" applyNumberFormat="1" applyFont="1" applyFill="1" applyBorder="1" applyAlignment="1" applyProtection="1">
      <alignment horizontal="center"/>
    </xf>
    <xf numFmtId="0" fontId="2" fillId="0" borderId="7" xfId="0" applyFont="1" applyBorder="1" applyProtection="1"/>
    <xf numFmtId="0" fontId="0" fillId="0" borderId="8" xfId="0" applyBorder="1" applyAlignment="1" applyProtection="1">
      <alignment horizontal="center"/>
    </xf>
    <xf numFmtId="0" fontId="0" fillId="0" borderId="8" xfId="0" applyFill="1" applyBorder="1" applyAlignment="1" applyProtection="1">
      <alignment horizontal="center"/>
    </xf>
    <xf numFmtId="41" fontId="2" fillId="0" borderId="16" xfId="0" applyNumberFormat="1" applyFont="1" applyBorder="1" applyAlignment="1" applyProtection="1">
      <alignment horizontal="center"/>
    </xf>
    <xf numFmtId="0" fontId="2" fillId="0" borderId="1" xfId="0" applyFont="1" applyFill="1" applyBorder="1" applyProtection="1"/>
    <xf numFmtId="0" fontId="0" fillId="0" borderId="8" xfId="3" applyFont="1" applyBorder="1" applyAlignment="1" applyProtection="1">
      <alignment horizontal="center"/>
    </xf>
    <xf numFmtId="0" fontId="2" fillId="0" borderId="5" xfId="3" applyFont="1" applyBorder="1" applyProtection="1"/>
    <xf numFmtId="41" fontId="14" fillId="0" borderId="6" xfId="3" applyNumberFormat="1" applyFont="1" applyFill="1" applyBorder="1" applyAlignment="1" applyProtection="1">
      <alignment horizontal="center"/>
      <protection locked="0"/>
    </xf>
    <xf numFmtId="41" fontId="14" fillId="4" borderId="6" xfId="3" quotePrefix="1" applyNumberFormat="1" applyFont="1" applyFill="1" applyBorder="1" applyAlignment="1" applyProtection="1">
      <alignment horizontal="left"/>
      <protection locked="0"/>
    </xf>
    <xf numFmtId="165" fontId="14" fillId="2" borderId="6" xfId="5" quotePrefix="1" applyNumberFormat="1" applyFont="1" applyFill="1" applyBorder="1" applyAlignment="1" applyProtection="1">
      <alignment horizontal="center"/>
      <protection locked="0"/>
    </xf>
    <xf numFmtId="8" fontId="14" fillId="2" borderId="6" xfId="3" quotePrefix="1" applyNumberFormat="1" applyFont="1" applyFill="1" applyBorder="1" applyAlignment="1" applyProtection="1">
      <alignment horizontal="center"/>
      <protection locked="0"/>
    </xf>
    <xf numFmtId="0" fontId="0" fillId="5" borderId="0" xfId="0" applyFont="1" applyFill="1" applyProtection="1"/>
    <xf numFmtId="10" fontId="14" fillId="4" borderId="6" xfId="3" applyNumberFormat="1" applyFont="1" applyFill="1" applyBorder="1" applyAlignment="1" applyProtection="1">
      <alignment horizontal="left"/>
      <protection locked="0"/>
    </xf>
    <xf numFmtId="9" fontId="14" fillId="4" borderId="6" xfId="3" applyNumberFormat="1" applyFont="1" applyFill="1" applyBorder="1" applyAlignment="1" applyProtection="1">
      <alignment horizontal="left"/>
      <protection locked="0"/>
    </xf>
    <xf numFmtId="0" fontId="0" fillId="6" borderId="0" xfId="0" applyFont="1" applyFill="1" applyProtection="1"/>
    <xf numFmtId="0" fontId="0" fillId="6" borderId="4" xfId="3" applyFont="1" applyFill="1" applyBorder="1" applyProtection="1"/>
    <xf numFmtId="164" fontId="14" fillId="6" borderId="0" xfId="3" applyNumberFormat="1" applyFont="1" applyFill="1" applyBorder="1" applyAlignment="1" applyProtection="1">
      <alignment horizontal="center"/>
    </xf>
    <xf numFmtId="0" fontId="0" fillId="6" borderId="0" xfId="0" applyFont="1" applyFill="1" applyBorder="1" applyProtection="1"/>
    <xf numFmtId="41" fontId="0" fillId="6" borderId="6" xfId="3" applyNumberFormat="1" applyFont="1" applyFill="1" applyBorder="1" applyAlignment="1" applyProtection="1">
      <alignment horizontal="center"/>
    </xf>
    <xf numFmtId="41" fontId="1" fillId="6" borderId="6" xfId="3" applyNumberFormat="1" applyFont="1" applyFill="1" applyBorder="1" applyAlignment="1" applyProtection="1">
      <alignment horizontal="center"/>
    </xf>
    <xf numFmtId="0" fontId="0" fillId="6" borderId="5" xfId="0" applyFont="1" applyFill="1" applyBorder="1" applyProtection="1"/>
    <xf numFmtId="164" fontId="0" fillId="6" borderId="0" xfId="3" applyNumberFormat="1" applyFont="1" applyFill="1" applyBorder="1" applyAlignment="1" applyProtection="1">
      <alignment horizontal="center"/>
    </xf>
    <xf numFmtId="41" fontId="20" fillId="0" borderId="0" xfId="3" applyNumberFormat="1" applyFont="1" applyFill="1" applyBorder="1" applyAlignment="1" applyProtection="1">
      <alignment horizontal="left"/>
      <protection locked="0"/>
    </xf>
    <xf numFmtId="2" fontId="14" fillId="0" borderId="0" xfId="3" applyNumberFormat="1" applyFont="1" applyFill="1" applyBorder="1" applyAlignment="1" applyProtection="1">
      <alignment horizontal="left"/>
      <protection locked="0"/>
    </xf>
    <xf numFmtId="0" fontId="0" fillId="0" borderId="0" xfId="3" applyFont="1" applyFill="1" applyProtection="1"/>
    <xf numFmtId="41" fontId="14" fillId="4" borderId="6" xfId="3" applyNumberFormat="1" applyFont="1" applyFill="1" applyBorder="1" applyAlignment="1" applyProtection="1">
      <alignment horizontal="left" wrapText="1"/>
      <protection locked="0"/>
    </xf>
    <xf numFmtId="0" fontId="0" fillId="0" borderId="2" xfId="0" applyBorder="1" applyAlignment="1" applyProtection="1">
      <alignment wrapText="1"/>
    </xf>
    <xf numFmtId="0" fontId="0" fillId="0" borderId="0" xfId="0" applyBorder="1" applyAlignment="1" applyProtection="1">
      <alignment wrapText="1"/>
    </xf>
    <xf numFmtId="0" fontId="0" fillId="0" borderId="0" xfId="0" applyAlignment="1" applyProtection="1">
      <alignment wrapText="1"/>
    </xf>
    <xf numFmtId="0" fontId="12" fillId="0" borderId="0" xfId="4" applyFont="1" applyFill="1" applyBorder="1" applyAlignment="1" applyProtection="1">
      <alignment horizontal="center" wrapText="1"/>
    </xf>
    <xf numFmtId="0" fontId="1" fillId="0" borderId="0" xfId="3" applyFill="1" applyBorder="1" applyAlignment="1" applyProtection="1">
      <alignment horizontal="center" wrapText="1"/>
    </xf>
    <xf numFmtId="2" fontId="14" fillId="0" borderId="0" xfId="3" applyNumberFormat="1" applyFont="1" applyFill="1" applyBorder="1" applyAlignment="1" applyProtection="1">
      <alignment horizontal="center" wrapText="1"/>
      <protection locked="0"/>
    </xf>
    <xf numFmtId="2" fontId="2" fillId="0" borderId="0" xfId="3" applyNumberFormat="1" applyFont="1" applyFill="1" applyBorder="1" applyAlignment="1" applyProtection="1">
      <alignment horizontal="center" wrapText="1"/>
    </xf>
    <xf numFmtId="0" fontId="2" fillId="0" borderId="0" xfId="3" applyFont="1" applyFill="1" applyBorder="1" applyAlignment="1" applyProtection="1">
      <alignment horizontal="center" wrapText="1"/>
    </xf>
    <xf numFmtId="2" fontId="2" fillId="0" borderId="8" xfId="3" applyNumberFormat="1" applyFont="1" applyFill="1" applyBorder="1" applyAlignment="1" applyProtection="1">
      <alignment horizontal="center" wrapText="1"/>
    </xf>
    <xf numFmtId="0" fontId="0" fillId="0" borderId="0" xfId="0" applyBorder="1" applyAlignment="1" applyProtection="1">
      <alignment horizontal="center" wrapText="1"/>
    </xf>
    <xf numFmtId="10" fontId="14" fillId="0" borderId="0" xfId="3" applyNumberFormat="1" applyFont="1" applyFill="1" applyBorder="1" applyAlignment="1" applyProtection="1">
      <alignment horizontal="center" wrapText="1"/>
      <protection locked="0"/>
    </xf>
    <xf numFmtId="10" fontId="1" fillId="0" borderId="0" xfId="3" applyNumberFormat="1" applyFont="1" applyFill="1" applyBorder="1" applyAlignment="1" applyProtection="1">
      <alignment horizontal="center" wrapText="1"/>
    </xf>
    <xf numFmtId="10" fontId="2" fillId="0" borderId="0" xfId="3" applyNumberFormat="1" applyFont="1" applyFill="1" applyBorder="1" applyAlignment="1" applyProtection="1">
      <alignment horizontal="center" wrapText="1"/>
    </xf>
    <xf numFmtId="41" fontId="14" fillId="0" borderId="0" xfId="3" applyNumberFormat="1" applyFont="1" applyFill="1" applyBorder="1" applyAlignment="1" applyProtection="1">
      <alignment horizontal="left" wrapText="1"/>
      <protection locked="0"/>
    </xf>
    <xf numFmtId="41" fontId="1" fillId="0" borderId="0" xfId="3" applyNumberFormat="1" applyFill="1" applyBorder="1" applyAlignment="1" applyProtection="1">
      <alignment horizontal="center" wrapText="1"/>
    </xf>
    <xf numFmtId="41" fontId="2" fillId="0" borderId="0" xfId="3" applyNumberFormat="1" applyFont="1" applyFill="1" applyBorder="1" applyAlignment="1" applyProtection="1">
      <alignment horizontal="center" wrapText="1"/>
    </xf>
    <xf numFmtId="41" fontId="2" fillId="0" borderId="8" xfId="3" applyNumberFormat="1" applyFont="1" applyFill="1" applyBorder="1" applyAlignment="1" applyProtection="1">
      <alignment horizontal="center" wrapText="1"/>
    </xf>
    <xf numFmtId="0" fontId="12" fillId="0" borderId="2" xfId="4" applyFont="1" applyBorder="1" applyAlignment="1" applyProtection="1">
      <alignment horizontal="center" wrapText="1"/>
    </xf>
    <xf numFmtId="0" fontId="12" fillId="0" borderId="0" xfId="4" applyFont="1" applyBorder="1" applyAlignment="1" applyProtection="1">
      <alignment horizontal="center" wrapText="1"/>
    </xf>
    <xf numFmtId="9" fontId="1" fillId="0" borderId="8" xfId="3" applyNumberFormat="1" applyFill="1" applyBorder="1" applyAlignment="1" applyProtection="1">
      <alignment horizontal="center" wrapText="1"/>
    </xf>
    <xf numFmtId="0" fontId="0" fillId="0" borderId="2" xfId="0" applyBorder="1" applyAlignment="1" applyProtection="1">
      <alignment wrapText="1"/>
    </xf>
    <xf numFmtId="0" fontId="0" fillId="0" borderId="0" xfId="0" applyBorder="1" applyAlignment="1" applyProtection="1">
      <alignment wrapText="1"/>
    </xf>
    <xf numFmtId="41" fontId="5" fillId="3" borderId="0" xfId="1" applyNumberFormat="1"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0" borderId="0" xfId="0" applyBorder="1" applyAlignment="1" applyProtection="1">
      <alignment horizontal="center"/>
    </xf>
    <xf numFmtId="0" fontId="0" fillId="0" borderId="0" xfId="0" applyBorder="1" applyAlignment="1" applyProtection="1"/>
    <xf numFmtId="0" fontId="0" fillId="0" borderId="4" xfId="0" quotePrefix="1" applyBorder="1" applyAlignment="1" applyProtection="1">
      <alignment wrapText="1"/>
    </xf>
    <xf numFmtId="0" fontId="10" fillId="0" borderId="0" xfId="0" applyFont="1" applyBorder="1" applyAlignment="1" applyProtection="1">
      <alignment horizontal="center"/>
    </xf>
    <xf numFmtId="0" fontId="2" fillId="0" borderId="0" xfId="0" applyFont="1" applyBorder="1" applyAlignment="1" applyProtection="1">
      <alignment wrapText="1"/>
    </xf>
    <xf numFmtId="0" fontId="0" fillId="0" borderId="0" xfId="0" applyAlignment="1">
      <alignment wrapText="1"/>
    </xf>
    <xf numFmtId="0" fontId="0" fillId="0" borderId="0" xfId="0" applyAlignment="1"/>
    <xf numFmtId="0" fontId="0" fillId="3" borderId="0" xfId="0" applyFill="1" applyBorder="1" applyAlignment="1" applyProtection="1"/>
    <xf numFmtId="12" fontId="13" fillId="2" borderId="6" xfId="0" quotePrefix="1" applyNumberFormat="1" applyFont="1" applyFill="1" applyBorder="1" applyAlignment="1" applyProtection="1">
      <alignment horizontal="left" vertical="top" wrapText="1"/>
      <protection locked="0"/>
    </xf>
    <xf numFmtId="12" fontId="0" fillId="0" borderId="6" xfId="0" applyNumberFormat="1" applyBorder="1" applyAlignment="1" applyProtection="1">
      <alignment horizontal="left" vertical="top" wrapText="1"/>
      <protection locked="0"/>
    </xf>
    <xf numFmtId="0" fontId="13" fillId="2" borderId="6" xfId="0" quotePrefix="1"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0"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12" fontId="6" fillId="2" borderId="6" xfId="2" quotePrefix="1" applyNumberFormat="1" applyFill="1" applyBorder="1" applyAlignment="1" applyProtection="1">
      <alignment horizontal="left" vertical="top" wrapText="1"/>
      <protection locked="0"/>
    </xf>
    <xf numFmtId="0" fontId="0" fillId="3" borderId="0" xfId="0" applyFill="1" applyBorder="1" applyAlignment="1" applyProtection="1">
      <alignment horizontal="center"/>
    </xf>
    <xf numFmtId="0" fontId="0" fillId="3" borderId="0" xfId="0" applyFill="1" applyBorder="1" applyAlignment="1" applyProtection="1">
      <alignment wrapText="1"/>
    </xf>
    <xf numFmtId="0" fontId="14" fillId="4" borderId="1" xfId="0" applyFont="1" applyFill="1" applyBorder="1" applyAlignment="1" applyProtection="1">
      <protection locked="0"/>
    </xf>
    <xf numFmtId="0" fontId="14" fillId="4" borderId="2" xfId="0" applyFont="1" applyFill="1" applyBorder="1" applyAlignment="1" applyProtection="1">
      <protection locked="0"/>
    </xf>
    <xf numFmtId="0" fontId="14" fillId="4" borderId="3" xfId="0" applyFont="1" applyFill="1" applyBorder="1" applyAlignment="1" applyProtection="1">
      <protection locked="0"/>
    </xf>
    <xf numFmtId="0" fontId="14" fillId="4" borderId="4" xfId="0" applyFont="1" applyFill="1" applyBorder="1" applyAlignment="1" applyProtection="1">
      <protection locked="0"/>
    </xf>
    <xf numFmtId="0" fontId="14" fillId="4" borderId="0" xfId="0" applyFont="1" applyFill="1" applyBorder="1" applyAlignment="1" applyProtection="1">
      <protection locked="0"/>
    </xf>
    <xf numFmtId="0" fontId="14" fillId="4" borderId="5" xfId="0" applyFont="1" applyFill="1" applyBorder="1" applyAlignment="1" applyProtection="1">
      <protection locked="0"/>
    </xf>
    <xf numFmtId="0" fontId="14" fillId="4" borderId="7" xfId="0" applyFont="1" applyFill="1" applyBorder="1" applyAlignment="1" applyProtection="1">
      <protection locked="0"/>
    </xf>
    <xf numFmtId="0" fontId="14" fillId="4" borderId="8" xfId="0" applyFont="1" applyFill="1" applyBorder="1" applyAlignment="1" applyProtection="1">
      <protection locked="0"/>
    </xf>
    <xf numFmtId="0" fontId="14" fillId="4" borderId="9" xfId="0" applyFont="1" applyFill="1" applyBorder="1" applyAlignment="1" applyProtection="1">
      <protection locked="0"/>
    </xf>
    <xf numFmtId="41" fontId="5" fillId="3" borderId="1" xfId="1" applyNumberFormat="1" applyFont="1" applyFill="1" applyBorder="1" applyAlignment="1" applyProtection="1">
      <alignment horizontal="center" vertical="center" wrapText="1"/>
    </xf>
    <xf numFmtId="0" fontId="0" fillId="3" borderId="2" xfId="0" applyFill="1" applyBorder="1" applyAlignment="1" applyProtection="1"/>
    <xf numFmtId="0" fontId="0" fillId="3" borderId="3" xfId="0" applyFill="1" applyBorder="1" applyAlignment="1" applyProtection="1"/>
    <xf numFmtId="41" fontId="18" fillId="3" borderId="2" xfId="1" applyNumberFormat="1"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2" xfId="0" applyFont="1" applyFill="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2" fillId="0" borderId="0" xfId="0" applyFont="1" applyBorder="1" applyAlignment="1" applyProtection="1">
      <alignment horizontal="center"/>
    </xf>
    <xf numFmtId="0" fontId="0" fillId="0" borderId="0" xfId="0" applyFont="1" applyBorder="1" applyAlignment="1" applyProtection="1"/>
    <xf numFmtId="0" fontId="0"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xf>
    <xf numFmtId="0" fontId="19" fillId="3" borderId="0" xfId="0" applyFont="1" applyFill="1" applyBorder="1" applyAlignment="1" applyProtection="1">
      <alignment horizontal="center"/>
    </xf>
    <xf numFmtId="0" fontId="19" fillId="0" borderId="0" xfId="0" applyFont="1" applyBorder="1" applyAlignment="1">
      <alignment horizontal="center"/>
    </xf>
    <xf numFmtId="41" fontId="5" fillId="3" borderId="4" xfId="1" applyNumberFormat="1" applyFont="1" applyFill="1" applyBorder="1" applyAlignment="1" applyProtection="1">
      <alignment horizontal="center" vertical="center" wrapText="1"/>
    </xf>
    <xf numFmtId="41" fontId="5" fillId="3" borderId="5" xfId="1" applyNumberFormat="1" applyFont="1" applyFill="1" applyBorder="1" applyAlignment="1" applyProtection="1">
      <alignment horizontal="center" vertical="center" wrapText="1"/>
    </xf>
    <xf numFmtId="0" fontId="10" fillId="0" borderId="4" xfId="0" applyFont="1" applyBorder="1" applyAlignment="1" applyProtection="1">
      <alignment horizontal="center"/>
    </xf>
    <xf numFmtId="0" fontId="10" fillId="0" borderId="5" xfId="0" applyFont="1" applyBorder="1" applyAlignment="1" applyProtection="1">
      <alignment horizontal="center"/>
    </xf>
    <xf numFmtId="41" fontId="5" fillId="3" borderId="2" xfId="1" applyNumberFormat="1" applyFont="1" applyFill="1" applyBorder="1" applyAlignment="1" applyProtection="1">
      <alignment horizontal="center" vertical="center" wrapText="1"/>
    </xf>
    <xf numFmtId="41" fontId="18" fillId="3" borderId="4" xfId="1" applyNumberFormat="1" applyFont="1" applyFill="1" applyBorder="1" applyAlignment="1" applyProtection="1">
      <alignment horizontal="center" vertical="center" wrapText="1"/>
    </xf>
    <xf numFmtId="41" fontId="18" fillId="3" borderId="5" xfId="1" applyNumberFormat="1" applyFont="1" applyFill="1" applyBorder="1" applyAlignment="1" applyProtection="1">
      <alignment horizontal="center" vertical="center" wrapText="1"/>
    </xf>
    <xf numFmtId="41" fontId="18" fillId="3" borderId="1" xfId="1" applyNumberFormat="1" applyFont="1" applyFill="1" applyBorder="1" applyAlignment="1" applyProtection="1">
      <alignment horizontal="center" vertical="center" wrapText="1"/>
    </xf>
    <xf numFmtId="41" fontId="18" fillId="3" borderId="3" xfId="1" applyNumberFormat="1" applyFont="1" applyFill="1" applyBorder="1" applyAlignment="1" applyProtection="1">
      <alignment horizontal="center" vertical="center" wrapText="1"/>
    </xf>
    <xf numFmtId="0" fontId="2" fillId="0" borderId="4" xfId="0" applyFont="1" applyBorder="1" applyAlignment="1" applyProtection="1">
      <alignment horizontal="center"/>
    </xf>
    <xf numFmtId="0" fontId="2" fillId="0" borderId="5" xfId="0" applyFont="1" applyBorder="1" applyAlignment="1" applyProtection="1">
      <alignment horizontal="center"/>
    </xf>
  </cellXfs>
  <cellStyles count="6">
    <cellStyle name="Currency" xfId="5" builtinId="4"/>
    <cellStyle name="Hyperlink" xfId="2" builtinId="8"/>
    <cellStyle name="Normal" xfId="0" builtinId="0"/>
    <cellStyle name="Normal 2" xfId="3" xr:uid="{00000000-0005-0000-0000-000002000000}"/>
    <cellStyle name="Normal 2 2" xfId="4" xr:uid="{00000000-0005-0000-0000-000003000000}"/>
    <cellStyle name="Normal 3 2" xfId="1"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1948180</xdr:colOff>
      <xdr:row>1</xdr:row>
      <xdr:rowOff>71120</xdr:rowOff>
    </xdr:from>
    <xdr:to>
      <xdr:col>4</xdr:col>
      <xdr:colOff>1201420</xdr:colOff>
      <xdr:row>4</xdr:row>
      <xdr:rowOff>193040</xdr:rowOff>
    </xdr:to>
    <xdr:pic>
      <xdr:nvPicPr>
        <xdr:cNvPr id="3" name="Picture 2" descr="https://tdoe.tncompass.org/Content/Images/tdoe/TN-Dept-of-Education-Color_175x70_png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020" y="264160"/>
          <a:ext cx="2047240" cy="67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304800</xdr:colOff>
      <xdr:row>8</xdr:row>
      <xdr:rowOff>121920</xdr:rowOff>
    </xdr:to>
    <xdr:sp macro="" textlink="">
      <xdr:nvSpPr>
        <xdr:cNvPr id="1028" name="AutoShape 4" descr="Image result for tennessee charter school center">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1074420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11</xdr:row>
      <xdr:rowOff>304800</xdr:rowOff>
    </xdr:to>
    <xdr:sp macro="" textlink="">
      <xdr:nvSpPr>
        <xdr:cNvPr id="1029" name="AutoShape 5"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305800" y="26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xdr:row>
      <xdr:rowOff>0</xdr:rowOff>
    </xdr:from>
    <xdr:to>
      <xdr:col>11</xdr:col>
      <xdr:colOff>304800</xdr:colOff>
      <xdr:row>6</xdr:row>
      <xdr:rowOff>76200</xdr:rowOff>
    </xdr:to>
    <xdr:sp macro="" textlink="">
      <xdr:nvSpPr>
        <xdr:cNvPr id="1030" name="AutoShape 6"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6040000}"/>
            </a:ext>
          </a:extLst>
        </xdr:cNvPr>
        <xdr:cNvSpPr>
          <a:spLocks noChangeAspect="1" noChangeArrowheads="1"/>
        </xdr:cNvSpPr>
      </xdr:nvSpPr>
      <xdr:spPr bwMode="auto">
        <a:xfrm>
          <a:off x="10134600" y="92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370840</xdr:colOff>
      <xdr:row>36</xdr:row>
      <xdr:rowOff>33801</xdr:rowOff>
    </xdr:from>
    <xdr:ext cx="2047240" cy="526758"/>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630680" y="6729241"/>
          <a:ext cx="204724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568185</xdr:colOff>
      <xdr:row>36</xdr:row>
      <xdr:rowOff>10160</xdr:rowOff>
    </xdr:from>
    <xdr:ext cx="1822730" cy="526758"/>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622025" y="6705600"/>
          <a:ext cx="182273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O21"/>
  <sheetViews>
    <sheetView workbookViewId="0">
      <selection activeCell="A8" sqref="A8:B21"/>
    </sheetView>
  </sheetViews>
  <sheetFormatPr defaultRowHeight="14.5" x14ac:dyDescent="0.35"/>
  <sheetData>
    <row r="6" spans="1:15" x14ac:dyDescent="0.35">
      <c r="A6" t="s">
        <v>22</v>
      </c>
      <c r="B6" t="s">
        <v>24</v>
      </c>
      <c r="C6" t="s">
        <v>25</v>
      </c>
      <c r="D6" t="s">
        <v>26</v>
      </c>
      <c r="E6" t="s">
        <v>27</v>
      </c>
      <c r="F6" t="s">
        <v>28</v>
      </c>
      <c r="G6" t="s">
        <v>29</v>
      </c>
      <c r="H6" t="s">
        <v>30</v>
      </c>
      <c r="I6" t="s">
        <v>31</v>
      </c>
      <c r="J6" t="s">
        <v>32</v>
      </c>
      <c r="K6" t="s">
        <v>95</v>
      </c>
      <c r="L6" t="s">
        <v>96</v>
      </c>
      <c r="M6" t="s">
        <v>98</v>
      </c>
      <c r="N6" t="s">
        <v>97</v>
      </c>
      <c r="O6" t="s">
        <v>99</v>
      </c>
    </row>
    <row r="8" spans="1:15" x14ac:dyDescent="0.35">
      <c r="A8" t="s">
        <v>24</v>
      </c>
      <c r="B8" t="s">
        <v>25</v>
      </c>
      <c r="C8" t="s">
        <v>137</v>
      </c>
    </row>
    <row r="9" spans="1:15" x14ac:dyDescent="0.35">
      <c r="A9" t="s">
        <v>25</v>
      </c>
      <c r="B9" t="s">
        <v>26</v>
      </c>
      <c r="C9" t="s">
        <v>24</v>
      </c>
    </row>
    <row r="10" spans="1:15" x14ac:dyDescent="0.35">
      <c r="A10" t="s">
        <v>26</v>
      </c>
      <c r="B10" t="s">
        <v>27</v>
      </c>
      <c r="C10" t="s">
        <v>25</v>
      </c>
    </row>
    <row r="11" spans="1:15" x14ac:dyDescent="0.35">
      <c r="A11" t="s">
        <v>27</v>
      </c>
      <c r="B11" t="s">
        <v>28</v>
      </c>
      <c r="C11" t="s">
        <v>26</v>
      </c>
    </row>
    <row r="12" spans="1:15" x14ac:dyDescent="0.35">
      <c r="A12" t="s">
        <v>28</v>
      </c>
      <c r="B12" t="s">
        <v>29</v>
      </c>
      <c r="C12" t="s">
        <v>27</v>
      </c>
    </row>
    <row r="13" spans="1:15" x14ac:dyDescent="0.35">
      <c r="A13" t="s">
        <v>29</v>
      </c>
      <c r="B13" t="s">
        <v>30</v>
      </c>
      <c r="C13" t="s">
        <v>28</v>
      </c>
    </row>
    <row r="14" spans="1:15" x14ac:dyDescent="0.35">
      <c r="A14" t="s">
        <v>30</v>
      </c>
      <c r="B14" t="s">
        <v>31</v>
      </c>
      <c r="C14" t="s">
        <v>29</v>
      </c>
    </row>
    <row r="15" spans="1:15" x14ac:dyDescent="0.35">
      <c r="A15" t="s">
        <v>31</v>
      </c>
      <c r="B15" t="s">
        <v>32</v>
      </c>
      <c r="C15" t="s">
        <v>30</v>
      </c>
    </row>
    <row r="16" spans="1:15" x14ac:dyDescent="0.35">
      <c r="A16" t="s">
        <v>32</v>
      </c>
      <c r="B16" t="s">
        <v>95</v>
      </c>
      <c r="C16" t="s">
        <v>31</v>
      </c>
    </row>
    <row r="17" spans="1:3" x14ac:dyDescent="0.35">
      <c r="A17" t="s">
        <v>95</v>
      </c>
      <c r="B17" t="s">
        <v>96</v>
      </c>
      <c r="C17" t="s">
        <v>32</v>
      </c>
    </row>
    <row r="18" spans="1:3" x14ac:dyDescent="0.35">
      <c r="A18" t="s">
        <v>96</v>
      </c>
      <c r="B18" t="s">
        <v>98</v>
      </c>
      <c r="C18" t="s">
        <v>95</v>
      </c>
    </row>
    <row r="19" spans="1:3" x14ac:dyDescent="0.35">
      <c r="A19" t="s">
        <v>98</v>
      </c>
      <c r="B19" t="s">
        <v>97</v>
      </c>
      <c r="C19" t="s">
        <v>96</v>
      </c>
    </row>
    <row r="20" spans="1:3" x14ac:dyDescent="0.35">
      <c r="A20" t="s">
        <v>97</v>
      </c>
      <c r="B20" t="s">
        <v>99</v>
      </c>
      <c r="C20" t="s">
        <v>98</v>
      </c>
    </row>
    <row r="21" spans="1:3" x14ac:dyDescent="0.35">
      <c r="A21" t="s">
        <v>99</v>
      </c>
      <c r="B21" t="s">
        <v>100</v>
      </c>
      <c r="C21" t="s">
        <v>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JA189"/>
  <sheetViews>
    <sheetView showGridLines="0" topLeftCell="C36" zoomScale="70" zoomScaleNormal="70" zoomScaleSheetLayoutView="100" workbookViewId="0">
      <selection activeCell="J1" sqref="J1"/>
    </sheetView>
  </sheetViews>
  <sheetFormatPr defaultColWidth="8.7265625" defaultRowHeight="14.5" x14ac:dyDescent="0.35"/>
  <cols>
    <col min="1" max="1" width="4.7265625" style="92" customWidth="1"/>
    <col min="2" max="2" width="42.453125" style="92" customWidth="1"/>
    <col min="3" max="3" width="23.26953125" style="92" customWidth="1"/>
    <col min="4" max="4" width="3.453125" style="92" customWidth="1"/>
    <col min="5" max="6" width="15.54296875" style="92" customWidth="1"/>
    <col min="7" max="7" width="16.7265625" style="92" customWidth="1"/>
    <col min="8" max="8" width="16.453125" style="92" customWidth="1"/>
    <col min="9" max="9" width="17" style="92" customWidth="1"/>
    <col min="10" max="10" width="95.26953125" style="92" bestFit="1" customWidth="1"/>
    <col min="11" max="12" width="4.7265625" style="92" customWidth="1"/>
    <col min="13" max="16384" width="8.7265625" style="92"/>
  </cols>
  <sheetData>
    <row r="1" spans="1:11" ht="15" thickBot="1" x14ac:dyDescent="0.4"/>
    <row r="2" spans="1:11" x14ac:dyDescent="0.35">
      <c r="B2" s="93"/>
      <c r="C2" s="94"/>
      <c r="D2" s="94"/>
      <c r="E2" s="94"/>
      <c r="F2" s="94"/>
      <c r="G2" s="94"/>
      <c r="H2" s="94"/>
      <c r="I2" s="94"/>
      <c r="J2" s="94"/>
      <c r="K2" s="95"/>
    </row>
    <row r="3" spans="1:11" x14ac:dyDescent="0.35">
      <c r="B3" s="335" t="str">
        <f>'1) Proposed School Information'!E12</f>
        <v>Luceo Collegiate School for the Arts Charter School</v>
      </c>
      <c r="C3" s="320"/>
      <c r="D3" s="320"/>
      <c r="E3" s="320"/>
      <c r="F3" s="320"/>
      <c r="G3" s="320"/>
      <c r="H3" s="320"/>
      <c r="I3" s="320"/>
      <c r="J3" s="320"/>
      <c r="K3" s="336"/>
    </row>
    <row r="4" spans="1:11" x14ac:dyDescent="0.35">
      <c r="B4" s="335" t="s">
        <v>17</v>
      </c>
      <c r="C4" s="320"/>
      <c r="D4" s="320"/>
      <c r="E4" s="320"/>
      <c r="F4" s="320"/>
      <c r="G4" s="320"/>
      <c r="H4" s="320"/>
      <c r="I4" s="320"/>
      <c r="J4" s="320"/>
      <c r="K4" s="336"/>
    </row>
    <row r="5" spans="1:11" x14ac:dyDescent="0.35">
      <c r="B5" s="335" t="s">
        <v>202</v>
      </c>
      <c r="C5" s="320"/>
      <c r="D5" s="320"/>
      <c r="E5" s="320"/>
      <c r="F5" s="320"/>
      <c r="G5" s="320"/>
      <c r="H5" s="320"/>
      <c r="I5" s="320"/>
      <c r="J5" s="320"/>
      <c r="K5" s="336"/>
    </row>
    <row r="6" spans="1:11" x14ac:dyDescent="0.35">
      <c r="B6" s="96"/>
      <c r="C6" s="97"/>
      <c r="D6" s="97"/>
      <c r="E6" s="97"/>
      <c r="F6" s="97"/>
      <c r="G6" s="97"/>
      <c r="H6" s="97"/>
      <c r="I6" s="97"/>
      <c r="J6" s="97">
        <v>6</v>
      </c>
      <c r="K6" s="99"/>
    </row>
    <row r="7" spans="1:11" x14ac:dyDescent="0.35">
      <c r="B7" s="96"/>
      <c r="C7" s="97"/>
      <c r="D7" s="97"/>
      <c r="E7" s="97"/>
      <c r="F7" s="97"/>
      <c r="G7" s="97"/>
      <c r="H7" s="97"/>
      <c r="I7" s="97"/>
      <c r="J7" s="97"/>
      <c r="K7" s="99"/>
    </row>
    <row r="8" spans="1:11" ht="14.65" customHeight="1" x14ac:dyDescent="0.35">
      <c r="B8" s="331" t="s">
        <v>187</v>
      </c>
      <c r="C8" s="319"/>
      <c r="D8" s="319"/>
      <c r="E8" s="319"/>
      <c r="F8" s="319"/>
      <c r="G8" s="319"/>
      <c r="H8" s="319"/>
      <c r="I8" s="319"/>
      <c r="J8" s="319"/>
      <c r="K8" s="332"/>
    </row>
    <row r="9" spans="1:11" x14ac:dyDescent="0.35">
      <c r="B9" s="96"/>
      <c r="C9" s="97"/>
      <c r="D9" s="97"/>
      <c r="E9" s="97"/>
      <c r="F9" s="97"/>
      <c r="G9" s="97"/>
      <c r="H9" s="97"/>
      <c r="I9" s="97"/>
      <c r="J9" s="97"/>
      <c r="K9" s="99"/>
    </row>
    <row r="10" spans="1:11" x14ac:dyDescent="0.35">
      <c r="A10" s="101"/>
      <c r="B10" s="49"/>
      <c r="C10" s="61"/>
      <c r="D10" s="2"/>
      <c r="E10" s="120" t="s">
        <v>47</v>
      </c>
      <c r="F10" s="120" t="s">
        <v>48</v>
      </c>
      <c r="G10" s="120" t="s">
        <v>49</v>
      </c>
      <c r="H10" s="120" t="s">
        <v>50</v>
      </c>
      <c r="I10" s="120" t="s">
        <v>51</v>
      </c>
      <c r="J10" s="164"/>
      <c r="K10" s="99"/>
    </row>
    <row r="11" spans="1:11" x14ac:dyDescent="0.35">
      <c r="A11" s="101"/>
      <c r="B11" s="49"/>
      <c r="C11" s="61"/>
      <c r="D11" s="2"/>
      <c r="E11" s="120" t="str">
        <f>IF('1) Proposed School Information'!E21="Select Year"," ",'1) Proposed School Information'!E21)</f>
        <v>2021-22</v>
      </c>
      <c r="F11" s="120" t="str">
        <f>IF(E11=" "," ",VLOOKUP(E11,Source!$A$8:$B$21,2,FALSE))</f>
        <v>2022-23</v>
      </c>
      <c r="G11" s="120" t="str">
        <f>IF(F11=" "," ",VLOOKUP(F11,Source!$A$8:$B$21,2,FALSE))</f>
        <v>2023-24</v>
      </c>
      <c r="H11" s="120" t="str">
        <f>IF(G11=" "," ",VLOOKUP(G11,Source!$A$8:$B$21,2,FALSE))</f>
        <v>2024-25</v>
      </c>
      <c r="I11" s="120" t="str">
        <f>IF(H11=" "," ",VLOOKUP(H11,Source!$A$8:$B$21,2,FALSE))</f>
        <v>2026-27</v>
      </c>
      <c r="J11" s="164"/>
      <c r="K11" s="99"/>
    </row>
    <row r="12" spans="1:11" x14ac:dyDescent="0.35">
      <c r="A12" s="101"/>
      <c r="B12" s="49"/>
      <c r="C12" s="58" t="s">
        <v>130</v>
      </c>
      <c r="D12" s="2"/>
      <c r="E12" s="106">
        <f>'6) Year 1 Budget'!E12</f>
        <v>0</v>
      </c>
      <c r="F12" s="91">
        <v>1.4999999999999999E-2</v>
      </c>
      <c r="G12" s="91">
        <v>1.4999999999999999E-2</v>
      </c>
      <c r="H12" s="91">
        <v>1.4999999999999999E-2</v>
      </c>
      <c r="I12" s="91">
        <v>1.4999999999999999E-2</v>
      </c>
      <c r="J12" s="161"/>
      <c r="K12" s="99"/>
    </row>
    <row r="13" spans="1:11" x14ac:dyDescent="0.35">
      <c r="A13" s="101"/>
      <c r="B13" s="49"/>
      <c r="C13" s="61" t="s">
        <v>94</v>
      </c>
      <c r="D13" s="2"/>
      <c r="E13" s="107">
        <f>'6) Year 1 Budget'!E13</f>
        <v>1</v>
      </c>
      <c r="F13" s="107">
        <f>E13*(1+F12)</f>
        <v>1.0149999999999999</v>
      </c>
      <c r="G13" s="107">
        <f>F13*(1+G12)</f>
        <v>1.0302249999999997</v>
      </c>
      <c r="H13" s="107">
        <f>G13*(1+H12)</f>
        <v>1.0456783749999996</v>
      </c>
      <c r="I13" s="107">
        <f>H13*(1+I12)</f>
        <v>1.0613635506249994</v>
      </c>
      <c r="J13" s="107"/>
      <c r="K13" s="99"/>
    </row>
    <row r="14" spans="1:11" x14ac:dyDescent="0.35">
      <c r="A14" s="101"/>
      <c r="B14" s="49"/>
      <c r="C14" s="61"/>
      <c r="D14" s="2"/>
      <c r="E14" s="107"/>
      <c r="F14" s="107"/>
      <c r="G14" s="107"/>
      <c r="H14" s="107"/>
      <c r="I14" s="107"/>
      <c r="J14" s="107"/>
      <c r="K14" s="99"/>
    </row>
    <row r="15" spans="1:11" x14ac:dyDescent="0.35">
      <c r="A15" s="101"/>
      <c r="B15" s="49"/>
      <c r="C15" s="61"/>
      <c r="D15" s="2"/>
      <c r="E15" s="107"/>
      <c r="F15" s="107"/>
      <c r="G15" s="107"/>
      <c r="H15" s="107"/>
      <c r="I15" s="107"/>
      <c r="J15" s="107"/>
      <c r="K15" s="99"/>
    </row>
    <row r="16" spans="1:11" x14ac:dyDescent="0.35">
      <c r="A16" s="101"/>
      <c r="B16" s="49"/>
      <c r="C16" s="61"/>
      <c r="D16" s="2"/>
      <c r="E16" s="107"/>
      <c r="F16" s="107"/>
      <c r="G16" s="107"/>
      <c r="H16" s="107"/>
      <c r="I16" s="107"/>
      <c r="J16" s="107"/>
      <c r="K16" s="99"/>
    </row>
    <row r="17" spans="1:261" x14ac:dyDescent="0.35">
      <c r="B17" s="42" t="s">
        <v>102</v>
      </c>
      <c r="C17" s="58" t="s">
        <v>117</v>
      </c>
      <c r="D17" s="61"/>
      <c r="E17" s="122"/>
      <c r="F17" s="122"/>
      <c r="G17" s="122"/>
      <c r="H17" s="122"/>
      <c r="I17" s="122"/>
      <c r="J17" s="63" t="s">
        <v>133</v>
      </c>
      <c r="K17" s="99"/>
    </row>
    <row r="18" spans="1:261" x14ac:dyDescent="0.35">
      <c r="B18" s="49" t="s">
        <v>104</v>
      </c>
      <c r="C18" s="87">
        <v>8464</v>
      </c>
      <c r="D18" s="97"/>
      <c r="E18" s="115">
        <f>'6) Year 1 Budget'!E18</f>
        <v>1015680</v>
      </c>
      <c r="F18" s="87">
        <f>'6) Year 1 Budget'!$C18*F$13*'2) Student Assumptions'!F$29*0.97</f>
        <v>1499981.6159999997</v>
      </c>
      <c r="G18" s="87">
        <f>'6) Year 1 Budget'!$C18*G$13*'2) Student Assumptions'!G$29*0.97</f>
        <v>2029975.1203199995</v>
      </c>
      <c r="H18" s="87">
        <f>'6) Year 1 Budget'!$C18*H$13*'2) Student Assumptions'!H$29*0.97</f>
        <v>2575530.9339059987</v>
      </c>
      <c r="I18" s="87">
        <f>'6) Year 1 Budget'!$C18*I$13*'2) Student Assumptions'!I$29*0.97</f>
        <v>3136996.6774975066</v>
      </c>
      <c r="J18" s="165" t="s">
        <v>331</v>
      </c>
      <c r="K18" s="99"/>
    </row>
    <row r="19" spans="1:261" x14ac:dyDescent="0.35">
      <c r="B19" s="49" t="s">
        <v>105</v>
      </c>
      <c r="C19" s="87">
        <v>199</v>
      </c>
      <c r="D19" s="97"/>
      <c r="E19" s="115">
        <f>'6) Year 1 Budget'!E19</f>
        <v>23880</v>
      </c>
      <c r="F19" s="87">
        <f>'6) Year 1 Budget'!$C19*F$13*'2) Student Assumptions'!F$29*0.97</f>
        <v>35266.580999999998</v>
      </c>
      <c r="G19" s="87">
        <f>'6) Year 1 Budget'!$C19*G$13*'2) Student Assumptions'!G$29*0.97</f>
        <v>47727.43961999999</v>
      </c>
      <c r="H19" s="87">
        <f>'6) Year 1 Budget'!$C19*H$13*'2) Student Assumptions'!H$29*0.97</f>
        <v>60554.189017874975</v>
      </c>
      <c r="I19" s="87">
        <f>'6) Year 1 Budget'!$C19*I$13*'2) Student Assumptions'!I$29*0.97</f>
        <v>73755.002223771706</v>
      </c>
      <c r="J19" s="165" t="s">
        <v>332</v>
      </c>
      <c r="K19" s="99"/>
    </row>
    <row r="20" spans="1:261" x14ac:dyDescent="0.35">
      <c r="B20" s="49" t="s">
        <v>106</v>
      </c>
      <c r="C20" s="87">
        <v>300</v>
      </c>
      <c r="D20" s="97"/>
      <c r="E20" s="115">
        <f>'6) Year 1 Budget'!E20</f>
        <v>36000</v>
      </c>
      <c r="F20" s="87">
        <f>'6) Year 1 Budget'!$C20*F$13*'2) Student Assumptions'!F$29*0.97</f>
        <v>53165.69999999999</v>
      </c>
      <c r="G20" s="87">
        <f>'6) Year 1 Budget'!$C20*G$13*'2) Student Assumptions'!G$29*0.97</f>
        <v>71950.913999999975</v>
      </c>
      <c r="H20" s="87">
        <f>'6) Year 1 Budget'!$C20*H$13*'2) Student Assumptions'!H$29*0.97</f>
        <v>91287.722137499964</v>
      </c>
      <c r="I20" s="87">
        <f>'6) Year 1 Budget'!$C20*I$13*'2) Student Assumptions'!I$29*0.97</f>
        <v>111188.44556347495</v>
      </c>
      <c r="J20" s="165" t="s">
        <v>333</v>
      </c>
      <c r="K20" s="99"/>
    </row>
    <row r="21" spans="1:261" x14ac:dyDescent="0.35">
      <c r="B21" s="49" t="str">
        <f>'6) Year 1 Budget'!B21</f>
        <v>Other</v>
      </c>
      <c r="C21" s="87">
        <v>0</v>
      </c>
      <c r="D21" s="97"/>
      <c r="E21" s="115">
        <f>'6) Year 1 Budget'!E21</f>
        <v>0</v>
      </c>
      <c r="F21" s="87">
        <f>$E21*(1+F$12)</f>
        <v>0</v>
      </c>
      <c r="G21" s="87">
        <f t="shared" ref="G21:I22" si="0">$E21*(1+G$12)</f>
        <v>0</v>
      </c>
      <c r="H21" s="87">
        <f t="shared" si="0"/>
        <v>0</v>
      </c>
      <c r="I21" s="87">
        <f t="shared" si="0"/>
        <v>0</v>
      </c>
      <c r="J21" s="165"/>
      <c r="K21" s="99"/>
    </row>
    <row r="22" spans="1:261" x14ac:dyDescent="0.35">
      <c r="B22" s="49" t="str">
        <f>'6) Year 1 Budget'!B22</f>
        <v>Other</v>
      </c>
      <c r="C22" s="87">
        <v>0</v>
      </c>
      <c r="D22" s="97"/>
      <c r="E22" s="115">
        <f>'6) Year 1 Budget'!E22</f>
        <v>0</v>
      </c>
      <c r="F22" s="87">
        <f>$E22*(1+F$12)</f>
        <v>0</v>
      </c>
      <c r="G22" s="87">
        <f t="shared" si="0"/>
        <v>0</v>
      </c>
      <c r="H22" s="87">
        <f t="shared" si="0"/>
        <v>0</v>
      </c>
      <c r="I22" s="87">
        <f t="shared" si="0"/>
        <v>0</v>
      </c>
      <c r="J22" s="165"/>
      <c r="K22" s="99"/>
    </row>
    <row r="23" spans="1:261" s="108" customFormat="1" x14ac:dyDescent="0.35">
      <c r="B23" s="47"/>
      <c r="C23" s="114"/>
      <c r="E23" s="110"/>
      <c r="F23" s="68"/>
      <c r="G23" s="68"/>
      <c r="H23" s="68"/>
      <c r="I23" s="68"/>
      <c r="J23" s="68"/>
      <c r="K23" s="109"/>
    </row>
    <row r="24" spans="1:261" x14ac:dyDescent="0.35">
      <c r="B24" s="42" t="s">
        <v>103</v>
      </c>
      <c r="C24" s="114"/>
      <c r="D24" s="108"/>
      <c r="E24" s="110"/>
      <c r="F24" s="68"/>
      <c r="G24" s="68"/>
      <c r="H24" s="68"/>
      <c r="I24" s="68"/>
      <c r="J24" s="68"/>
      <c r="K24" s="99"/>
    </row>
    <row r="25" spans="1:261" x14ac:dyDescent="0.35">
      <c r="B25" s="49" t="s">
        <v>107</v>
      </c>
      <c r="C25" s="87">
        <v>300</v>
      </c>
      <c r="D25" s="97"/>
      <c r="E25" s="115">
        <f>'6) Year 1 Budget'!E25</f>
        <v>32400</v>
      </c>
      <c r="F25" s="87">
        <f>$C25*'2) Student Assumptions'!F$74</f>
        <v>48600</v>
      </c>
      <c r="G25" s="87">
        <f>$C25*'2) Student Assumptions'!G$74</f>
        <v>64800</v>
      </c>
      <c r="H25" s="87">
        <f>$C25*'2) Student Assumptions'!H$74</f>
        <v>81000</v>
      </c>
      <c r="I25" s="87">
        <f>$C25*'2) Student Assumptions'!I$74</f>
        <v>97200</v>
      </c>
      <c r="J25" s="165" t="s">
        <v>334</v>
      </c>
      <c r="K25" s="99"/>
    </row>
    <row r="26" spans="1:261" x14ac:dyDescent="0.35">
      <c r="B26" s="49" t="s">
        <v>108</v>
      </c>
      <c r="C26" s="87">
        <v>0</v>
      </c>
      <c r="D26" s="97"/>
      <c r="E26" s="115">
        <f>'6) Year 1 Budget'!E26</f>
        <v>0</v>
      </c>
      <c r="F26" s="87">
        <f t="shared" ref="F26:F32" si="1">$E26*(1+F$12)</f>
        <v>0</v>
      </c>
      <c r="G26" s="87">
        <f t="shared" ref="G26:I32" si="2">$E26*(1+G$12)</f>
        <v>0</v>
      </c>
      <c r="H26" s="87">
        <f t="shared" si="2"/>
        <v>0</v>
      </c>
      <c r="I26" s="87">
        <f t="shared" si="2"/>
        <v>0</v>
      </c>
      <c r="J26" s="165"/>
      <c r="K26" s="99"/>
    </row>
    <row r="27" spans="1:261" x14ac:dyDescent="0.35">
      <c r="B27" s="49" t="s">
        <v>109</v>
      </c>
      <c r="C27" s="87">
        <v>0</v>
      </c>
      <c r="D27" s="97"/>
      <c r="E27" s="115">
        <f>'6) Year 1 Budget'!E27</f>
        <v>0</v>
      </c>
      <c r="F27" s="87">
        <f t="shared" si="1"/>
        <v>0</v>
      </c>
      <c r="G27" s="87">
        <f t="shared" si="2"/>
        <v>0</v>
      </c>
      <c r="H27" s="87">
        <f t="shared" si="2"/>
        <v>0</v>
      </c>
      <c r="I27" s="87">
        <f t="shared" si="2"/>
        <v>0</v>
      </c>
      <c r="J27" s="165"/>
      <c r="K27" s="99"/>
    </row>
    <row r="28" spans="1:261" x14ac:dyDescent="0.35">
      <c r="B28" s="49" t="s">
        <v>115</v>
      </c>
      <c r="C28" s="87">
        <v>0</v>
      </c>
      <c r="D28" s="97"/>
      <c r="E28" s="115">
        <f>'6) Year 1 Budget'!E28</f>
        <v>0</v>
      </c>
      <c r="F28" s="87">
        <f t="shared" si="1"/>
        <v>0</v>
      </c>
      <c r="G28" s="87">
        <f t="shared" si="2"/>
        <v>0</v>
      </c>
      <c r="H28" s="87">
        <f t="shared" si="2"/>
        <v>0</v>
      </c>
      <c r="I28" s="87">
        <f t="shared" si="2"/>
        <v>0</v>
      </c>
      <c r="J28" s="165"/>
      <c r="K28" s="99"/>
    </row>
    <row r="29" spans="1:261" x14ac:dyDescent="0.35">
      <c r="B29" s="49" t="s">
        <v>116</v>
      </c>
      <c r="C29" s="87">
        <v>150</v>
      </c>
      <c r="D29" s="97"/>
      <c r="E29" s="115">
        <f>'6) Year 1 Budget'!E29</f>
        <v>18000</v>
      </c>
      <c r="F29" s="87">
        <f>'6) Year 1 Budget'!$C$29*'2) Student Assumptions'!F$29</f>
        <v>27000</v>
      </c>
      <c r="G29" s="87">
        <f>'6) Year 1 Budget'!$C$29*'2) Student Assumptions'!G$29</f>
        <v>36000</v>
      </c>
      <c r="H29" s="87">
        <f>'6) Year 1 Budget'!$C$29*'2) Student Assumptions'!H$29</f>
        <v>45000</v>
      </c>
      <c r="I29" s="87">
        <f>'6) Year 1 Budget'!$C$29*'2) Student Assumptions'!I$29</f>
        <v>54000</v>
      </c>
      <c r="J29" s="165" t="s">
        <v>335</v>
      </c>
      <c r="K29" s="99"/>
    </row>
    <row r="30" spans="1:261" s="247" customFormat="1" x14ac:dyDescent="0.35">
      <c r="A30" s="116"/>
      <c r="B30" s="47" t="s">
        <v>110</v>
      </c>
      <c r="C30" s="87">
        <v>0</v>
      </c>
      <c r="D30" s="108"/>
      <c r="E30" s="115">
        <f>'6) Year 1 Budget'!E30</f>
        <v>200000</v>
      </c>
      <c r="F30" s="87">
        <v>100000</v>
      </c>
      <c r="G30" s="87">
        <v>0</v>
      </c>
      <c r="H30" s="87">
        <v>0</v>
      </c>
      <c r="I30" s="87">
        <v>0</v>
      </c>
      <c r="J30" s="165" t="s">
        <v>375</v>
      </c>
      <c r="K30" s="109"/>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c r="IT30" s="116"/>
      <c r="IU30" s="116"/>
      <c r="IV30" s="116"/>
      <c r="IW30" s="116"/>
      <c r="IX30" s="116"/>
      <c r="IY30" s="116"/>
      <c r="IZ30" s="116"/>
      <c r="JA30" s="116"/>
    </row>
    <row r="31" spans="1:261" x14ac:dyDescent="0.35">
      <c r="B31" s="49" t="str">
        <f>'6) Year 1 Budget'!B31</f>
        <v>Other</v>
      </c>
      <c r="C31" s="87">
        <v>0</v>
      </c>
      <c r="D31" s="97"/>
      <c r="E31" s="115">
        <f>'6) Year 1 Budget'!E31</f>
        <v>0</v>
      </c>
      <c r="F31" s="87">
        <f t="shared" si="1"/>
        <v>0</v>
      </c>
      <c r="G31" s="87">
        <f t="shared" si="2"/>
        <v>0</v>
      </c>
      <c r="H31" s="87">
        <f t="shared" si="2"/>
        <v>0</v>
      </c>
      <c r="I31" s="87">
        <f t="shared" si="2"/>
        <v>0</v>
      </c>
      <c r="J31" s="165"/>
      <c r="K31" s="99"/>
    </row>
    <row r="32" spans="1:261" x14ac:dyDescent="0.35">
      <c r="B32" s="49" t="str">
        <f>'6) Year 1 Budget'!B32</f>
        <v>Other</v>
      </c>
      <c r="C32" s="87">
        <v>0</v>
      </c>
      <c r="D32" s="97"/>
      <c r="E32" s="115">
        <f>'6) Year 1 Budget'!E32</f>
        <v>0</v>
      </c>
      <c r="F32" s="87">
        <f t="shared" si="1"/>
        <v>0</v>
      </c>
      <c r="G32" s="87">
        <f t="shared" si="2"/>
        <v>0</v>
      </c>
      <c r="H32" s="87">
        <f t="shared" si="2"/>
        <v>0</v>
      </c>
      <c r="I32" s="87">
        <f t="shared" si="2"/>
        <v>0</v>
      </c>
      <c r="J32" s="165"/>
      <c r="K32" s="99"/>
    </row>
    <row r="33" spans="1:11" s="108" customFormat="1" x14ac:dyDescent="0.35">
      <c r="B33" s="47"/>
      <c r="C33" s="114"/>
      <c r="E33" s="110"/>
      <c r="F33" s="68"/>
      <c r="G33" s="68"/>
      <c r="H33" s="68"/>
      <c r="I33" s="68"/>
      <c r="J33" s="68"/>
      <c r="K33" s="109"/>
    </row>
    <row r="34" spans="1:11" s="108" customFormat="1" x14ac:dyDescent="0.35">
      <c r="B34" s="45" t="s">
        <v>111</v>
      </c>
      <c r="C34" s="114"/>
      <c r="E34" s="110"/>
      <c r="F34" s="68"/>
      <c r="G34" s="68"/>
      <c r="H34" s="68"/>
      <c r="I34" s="68"/>
      <c r="J34" s="68"/>
      <c r="K34" s="109"/>
    </row>
    <row r="35" spans="1:11" x14ac:dyDescent="0.35">
      <c r="B35" s="49" t="str">
        <f>'6) Year 1 Budget'!B35</f>
        <v>Other</v>
      </c>
      <c r="C35" s="87">
        <v>0</v>
      </c>
      <c r="D35" s="97"/>
      <c r="E35" s="115">
        <f>'6) Year 1 Budget'!E35</f>
        <v>0</v>
      </c>
      <c r="F35" s="87">
        <f>$C35*(1+F$12)</f>
        <v>0</v>
      </c>
      <c r="G35" s="87">
        <f t="shared" ref="G35:I39" si="3">$C35*(1+G$12)</f>
        <v>0</v>
      </c>
      <c r="H35" s="87">
        <f t="shared" si="3"/>
        <v>0</v>
      </c>
      <c r="I35" s="87">
        <f t="shared" si="3"/>
        <v>0</v>
      </c>
      <c r="J35" s="165"/>
      <c r="K35" s="99"/>
    </row>
    <row r="36" spans="1:11" x14ac:dyDescent="0.35">
      <c r="B36" s="49" t="str">
        <f>'6) Year 1 Budget'!B36</f>
        <v>Other</v>
      </c>
      <c r="C36" s="87">
        <v>0</v>
      </c>
      <c r="D36" s="97"/>
      <c r="E36" s="115">
        <f>'6) Year 1 Budget'!E36</f>
        <v>0</v>
      </c>
      <c r="F36" s="87">
        <f>$C36*(1+F$12)</f>
        <v>0</v>
      </c>
      <c r="G36" s="87">
        <f t="shared" si="3"/>
        <v>0</v>
      </c>
      <c r="H36" s="87">
        <f t="shared" si="3"/>
        <v>0</v>
      </c>
      <c r="I36" s="87">
        <f t="shared" si="3"/>
        <v>0</v>
      </c>
      <c r="J36" s="165"/>
      <c r="K36" s="99"/>
    </row>
    <row r="37" spans="1:11" x14ac:dyDescent="0.35">
      <c r="B37" s="49" t="str">
        <f>'6) Year 1 Budget'!B37</f>
        <v>Other</v>
      </c>
      <c r="C37" s="87">
        <v>0</v>
      </c>
      <c r="D37" s="97"/>
      <c r="E37" s="115">
        <f>'6) Year 1 Budget'!E37</f>
        <v>0</v>
      </c>
      <c r="F37" s="87">
        <f>$C37*(1+F$12)</f>
        <v>0</v>
      </c>
      <c r="G37" s="87">
        <f t="shared" si="3"/>
        <v>0</v>
      </c>
      <c r="H37" s="87">
        <f t="shared" si="3"/>
        <v>0</v>
      </c>
      <c r="I37" s="87">
        <f t="shared" si="3"/>
        <v>0</v>
      </c>
      <c r="J37" s="165"/>
      <c r="K37" s="99"/>
    </row>
    <row r="38" spans="1:11" s="108" customFormat="1" x14ac:dyDescent="0.35">
      <c r="B38" s="49" t="str">
        <f>'6) Year 1 Budget'!B38</f>
        <v>Other</v>
      </c>
      <c r="C38" s="87">
        <v>0</v>
      </c>
      <c r="D38" s="97"/>
      <c r="E38" s="115">
        <f>'6) Year 1 Budget'!E38</f>
        <v>0</v>
      </c>
      <c r="F38" s="87">
        <f>$C38*(1+F$12)</f>
        <v>0</v>
      </c>
      <c r="G38" s="87">
        <f t="shared" si="3"/>
        <v>0</v>
      </c>
      <c r="H38" s="87">
        <f t="shared" si="3"/>
        <v>0</v>
      </c>
      <c r="I38" s="87">
        <f t="shared" si="3"/>
        <v>0</v>
      </c>
      <c r="J38" s="165"/>
      <c r="K38" s="109"/>
    </row>
    <row r="39" spans="1:11" x14ac:dyDescent="0.35">
      <c r="B39" s="49" t="str">
        <f>'6) Year 1 Budget'!B39</f>
        <v>Other</v>
      </c>
      <c r="C39" s="87">
        <v>0</v>
      </c>
      <c r="D39" s="97"/>
      <c r="E39" s="115">
        <f>'6) Year 1 Budget'!E39</f>
        <v>0</v>
      </c>
      <c r="F39" s="87">
        <f>$C39*(1+F$12)</f>
        <v>0</v>
      </c>
      <c r="G39" s="87">
        <f t="shared" si="3"/>
        <v>0</v>
      </c>
      <c r="H39" s="87">
        <f t="shared" si="3"/>
        <v>0</v>
      </c>
      <c r="I39" s="87">
        <f t="shared" si="3"/>
        <v>0</v>
      </c>
      <c r="J39" s="165"/>
      <c r="K39" s="99"/>
    </row>
    <row r="40" spans="1:11" s="108" customFormat="1" x14ac:dyDescent="0.35">
      <c r="B40" s="47"/>
      <c r="C40" s="114"/>
      <c r="E40" s="110">
        <f>'6) Year 1 Budget'!E40</f>
        <v>0</v>
      </c>
      <c r="F40" s="68"/>
      <c r="G40" s="68"/>
      <c r="H40" s="68"/>
      <c r="I40" s="68"/>
      <c r="J40" s="68"/>
      <c r="K40" s="109"/>
    </row>
    <row r="41" spans="1:11" x14ac:dyDescent="0.35">
      <c r="B41" s="45" t="s">
        <v>114</v>
      </c>
      <c r="C41" s="114"/>
      <c r="D41" s="108"/>
      <c r="E41" s="110">
        <f>'6) Year 1 Budget'!E41</f>
        <v>0</v>
      </c>
      <c r="F41" s="68"/>
      <c r="G41" s="68"/>
      <c r="H41" s="68"/>
      <c r="I41" s="68"/>
      <c r="J41" s="68"/>
      <c r="K41" s="109"/>
    </row>
    <row r="42" spans="1:11" x14ac:dyDescent="0.35">
      <c r="B42" s="49" t="str">
        <f>'6) Year 1 Budget'!B42</f>
        <v>Walton Family Foundation</v>
      </c>
      <c r="C42" s="87">
        <v>0</v>
      </c>
      <c r="D42" s="97"/>
      <c r="E42" s="115">
        <f>'6) Year 1 Budget'!E42</f>
        <v>0</v>
      </c>
      <c r="F42" s="87">
        <v>0</v>
      </c>
      <c r="G42" s="87">
        <v>0</v>
      </c>
      <c r="H42" s="87">
        <v>0</v>
      </c>
      <c r="I42" s="87">
        <v>0</v>
      </c>
      <c r="J42" s="165" t="s">
        <v>494</v>
      </c>
      <c r="K42" s="99"/>
    </row>
    <row r="43" spans="1:11" x14ac:dyDescent="0.35">
      <c r="B43" s="49" t="str">
        <f>'6) Year 1 Budget'!B43</f>
        <v>Board Commitmment</v>
      </c>
      <c r="C43" s="87">
        <f>'6) Year 1 Budget'!C43</f>
        <v>20000</v>
      </c>
      <c r="D43" s="97"/>
      <c r="E43" s="115">
        <f>'6) Year 1 Budget'!E43</f>
        <v>20000</v>
      </c>
      <c r="F43" s="87">
        <v>20000</v>
      </c>
      <c r="G43" s="87">
        <v>25000</v>
      </c>
      <c r="H43" s="87">
        <v>25000</v>
      </c>
      <c r="I43" s="87">
        <v>30000</v>
      </c>
      <c r="J43" s="165" t="s">
        <v>495</v>
      </c>
      <c r="K43" s="99"/>
    </row>
    <row r="44" spans="1:11" x14ac:dyDescent="0.35">
      <c r="B44" s="49" t="str">
        <f>'6) Year 1 Budget'!B44</f>
        <v>Other</v>
      </c>
      <c r="C44" s="87">
        <v>0</v>
      </c>
      <c r="D44" s="97"/>
      <c r="E44" s="115">
        <f>'6) Year 1 Budget'!E44</f>
        <v>0</v>
      </c>
      <c r="F44" s="87">
        <v>0</v>
      </c>
      <c r="G44" s="87">
        <v>0</v>
      </c>
      <c r="H44" s="87">
        <v>0</v>
      </c>
      <c r="I44" s="87">
        <v>0</v>
      </c>
      <c r="J44" s="165"/>
      <c r="K44" s="99"/>
    </row>
    <row r="45" spans="1:11" s="116" customFormat="1" x14ac:dyDescent="0.35">
      <c r="B45" s="49" t="str">
        <f>'6) Year 1 Budget'!B45</f>
        <v>Other</v>
      </c>
      <c r="C45" s="87">
        <v>0</v>
      </c>
      <c r="D45" s="97"/>
      <c r="E45" s="115">
        <f>'6) Year 1 Budget'!E45</f>
        <v>0</v>
      </c>
      <c r="F45" s="87">
        <v>0</v>
      </c>
      <c r="G45" s="87">
        <v>0</v>
      </c>
      <c r="H45" s="87">
        <v>0</v>
      </c>
      <c r="I45" s="87">
        <v>0</v>
      </c>
      <c r="J45" s="165"/>
      <c r="K45" s="109"/>
    </row>
    <row r="46" spans="1:11" ht="14.65" customHeight="1" x14ac:dyDescent="0.35">
      <c r="B46" s="49" t="str">
        <f>'6) Year 1 Budget'!B46</f>
        <v>Other</v>
      </c>
      <c r="C46" s="87">
        <v>0</v>
      </c>
      <c r="D46" s="97"/>
      <c r="E46" s="115">
        <f>'6) Year 1 Budget'!E46</f>
        <v>0</v>
      </c>
      <c r="F46" s="87">
        <v>0</v>
      </c>
      <c r="G46" s="87">
        <v>0</v>
      </c>
      <c r="H46" s="87">
        <v>0</v>
      </c>
      <c r="I46" s="87">
        <v>0</v>
      </c>
      <c r="J46" s="165"/>
      <c r="K46" s="99"/>
    </row>
    <row r="47" spans="1:11" x14ac:dyDescent="0.35">
      <c r="A47" s="101"/>
      <c r="B47" s="49"/>
      <c r="C47" s="61"/>
      <c r="D47" s="61"/>
      <c r="E47" s="40"/>
      <c r="F47" s="40"/>
      <c r="G47" s="40"/>
      <c r="H47" s="40"/>
      <c r="I47" s="40"/>
      <c r="J47" s="69"/>
      <c r="K47" s="99"/>
    </row>
    <row r="48" spans="1:11" x14ac:dyDescent="0.35">
      <c r="B48" s="41" t="s">
        <v>113</v>
      </c>
      <c r="C48" s="97"/>
      <c r="D48" s="97"/>
      <c r="E48" s="73">
        <f>SUM(E18:E22,E25:E32,E35:E39,E42:E46)</f>
        <v>1345960</v>
      </c>
      <c r="F48" s="73">
        <f>SUM(F18:F22,F25:F32,F35:F39,F42:F46)</f>
        <v>1784013.8969999996</v>
      </c>
      <c r="G48" s="73">
        <f>SUM(G18:G22,G25:G32,G35:G39,G42:G46)</f>
        <v>2275453.4739399995</v>
      </c>
      <c r="H48" s="73">
        <f>SUM(H18:H22,H25:H32,H35:H39,H42:H46)</f>
        <v>2878372.8450613739</v>
      </c>
      <c r="I48" s="73">
        <f>SUM(I18:I22,I25:I32,I35:I39,I42:I46)</f>
        <v>3503140.1252847533</v>
      </c>
      <c r="J48" s="72"/>
      <c r="K48" s="99"/>
    </row>
    <row r="49" spans="1:11" ht="15" thickBot="1" x14ac:dyDescent="0.4">
      <c r="B49" s="236"/>
      <c r="C49" s="133"/>
      <c r="D49" s="133"/>
      <c r="E49" s="219"/>
      <c r="F49" s="219"/>
      <c r="G49" s="219"/>
      <c r="H49" s="219"/>
      <c r="I49" s="219"/>
      <c r="J49" s="219"/>
      <c r="K49" s="134"/>
    </row>
    <row r="50" spans="1:11" ht="15" customHeight="1" x14ac:dyDescent="0.35">
      <c r="A50" s="101"/>
      <c r="B50" s="333" t="s">
        <v>155</v>
      </c>
      <c r="C50" s="316"/>
      <c r="D50" s="316"/>
      <c r="E50" s="316"/>
      <c r="F50" s="316"/>
      <c r="G50" s="316"/>
      <c r="H50" s="316"/>
      <c r="I50" s="316"/>
      <c r="J50" s="316"/>
      <c r="K50" s="334"/>
    </row>
    <row r="51" spans="1:11" x14ac:dyDescent="0.35">
      <c r="A51" s="101"/>
      <c r="B51" s="96"/>
      <c r="C51" s="97"/>
      <c r="D51" s="97"/>
      <c r="E51" s="118"/>
      <c r="F51" s="118"/>
      <c r="G51" s="118"/>
      <c r="H51" s="118"/>
      <c r="I51" s="118"/>
      <c r="J51" s="118"/>
      <c r="K51" s="99"/>
    </row>
    <row r="52" spans="1:11" x14ac:dyDescent="0.35">
      <c r="A52" s="101"/>
      <c r="B52" s="49"/>
      <c r="C52" s="61"/>
      <c r="D52" s="2"/>
      <c r="E52" s="120" t="s">
        <v>47</v>
      </c>
      <c r="F52" s="120" t="s">
        <v>48</v>
      </c>
      <c r="G52" s="120" t="s">
        <v>49</v>
      </c>
      <c r="H52" s="120" t="s">
        <v>50</v>
      </c>
      <c r="I52" s="120" t="s">
        <v>51</v>
      </c>
      <c r="J52" s="164"/>
      <c r="K52" s="99"/>
    </row>
    <row r="53" spans="1:11" x14ac:dyDescent="0.35">
      <c r="A53" s="101"/>
      <c r="B53" s="49"/>
      <c r="C53" s="61"/>
      <c r="D53" s="61"/>
      <c r="E53" s="121" t="str">
        <f>E11</f>
        <v>2021-22</v>
      </c>
      <c r="F53" s="121" t="str">
        <f>F11</f>
        <v>2022-23</v>
      </c>
      <c r="G53" s="121" t="str">
        <f>G11</f>
        <v>2023-24</v>
      </c>
      <c r="H53" s="121" t="str">
        <f>H11</f>
        <v>2024-25</v>
      </c>
      <c r="I53" s="121" t="str">
        <f>I11</f>
        <v>2026-27</v>
      </c>
      <c r="J53" s="163"/>
      <c r="K53" s="99"/>
    </row>
    <row r="54" spans="1:11" x14ac:dyDescent="0.35">
      <c r="A54" s="101"/>
      <c r="B54" s="49"/>
      <c r="C54" s="61"/>
      <c r="D54" s="61"/>
      <c r="E54" s="122"/>
      <c r="F54" s="122"/>
      <c r="G54" s="122"/>
      <c r="H54" s="122"/>
      <c r="I54" s="122"/>
      <c r="J54" s="163"/>
      <c r="K54" s="99"/>
    </row>
    <row r="55" spans="1:11" x14ac:dyDescent="0.35">
      <c r="A55" s="101"/>
      <c r="B55" s="49"/>
      <c r="C55" s="61"/>
      <c r="D55" s="61"/>
      <c r="E55" s="122"/>
      <c r="F55" s="122"/>
      <c r="G55" s="122"/>
      <c r="H55" s="122"/>
      <c r="I55" s="122"/>
      <c r="J55" s="163"/>
      <c r="K55" s="99"/>
    </row>
    <row r="56" spans="1:11" x14ac:dyDescent="0.35">
      <c r="A56" s="101"/>
      <c r="B56" s="39" t="str">
        <f>'5) Year 1-5 Staff Assumptions'!B50</f>
        <v>Administrative Staff</v>
      </c>
      <c r="C56" s="58"/>
      <c r="D56" s="61"/>
      <c r="E56" s="110"/>
      <c r="F56" s="68"/>
      <c r="G56" s="68"/>
      <c r="H56" s="68"/>
      <c r="I56" s="68"/>
      <c r="J56" s="63" t="s">
        <v>133</v>
      </c>
      <c r="K56" s="99"/>
    </row>
    <row r="57" spans="1:11" x14ac:dyDescent="0.35">
      <c r="A57" s="101"/>
      <c r="B57" s="31" t="str">
        <f>'5) Year 1-5 Staff Assumptions'!B51</f>
        <v>Principal/School Leader</v>
      </c>
      <c r="C57" s="128"/>
      <c r="D57" s="61"/>
      <c r="E57" s="115">
        <f>'6) Year 1 Budget'!E57</f>
        <v>95000</v>
      </c>
      <c r="F57" s="115">
        <f>'5) Year 1-5 Staff Assumptions'!F51</f>
        <v>97374.999999999985</v>
      </c>
      <c r="G57" s="115">
        <f>'5) Year 1-5 Staff Assumptions'!G51</f>
        <v>99809.374999999985</v>
      </c>
      <c r="H57" s="115">
        <f>'5) Year 1-5 Staff Assumptions'!H51</f>
        <v>102304.60937499999</v>
      </c>
      <c r="I57" s="115">
        <f>'5) Year 1-5 Staff Assumptions'!I51</f>
        <v>104862.22460937497</v>
      </c>
      <c r="J57" s="165" t="s">
        <v>496</v>
      </c>
      <c r="K57" s="99"/>
    </row>
    <row r="58" spans="1:11" x14ac:dyDescent="0.35">
      <c r="A58" s="101"/>
      <c r="B58" s="31" t="str">
        <f>'5) Year 1-5 Staff Assumptions'!B52</f>
        <v>Assistant Principal</v>
      </c>
      <c r="C58" s="128"/>
      <c r="D58" s="97"/>
      <c r="E58" s="115">
        <f>'6) Year 1 Budget'!E58</f>
        <v>0</v>
      </c>
      <c r="F58" s="115">
        <f>'5) Year 1-5 Staff Assumptions'!F52</f>
        <v>0</v>
      </c>
      <c r="G58" s="115">
        <f>'5) Year 1-5 Staff Assumptions'!G52</f>
        <v>0</v>
      </c>
      <c r="H58" s="115">
        <f>'5) Year 1-5 Staff Assumptions'!H52</f>
        <v>0</v>
      </c>
      <c r="I58" s="115">
        <f>'5) Year 1-5 Staff Assumptions'!I52</f>
        <v>0</v>
      </c>
      <c r="J58" s="166"/>
      <c r="K58" s="99"/>
    </row>
    <row r="59" spans="1:11" x14ac:dyDescent="0.35">
      <c r="A59" s="101"/>
      <c r="B59" s="31" t="str">
        <f>'5) Year 1-5 Staff Assumptions'!B53</f>
        <v>Special Education Coordinator</v>
      </c>
      <c r="C59" s="128"/>
      <c r="D59" s="97"/>
      <c r="E59" s="115">
        <f>'6) Year 1 Budget'!E59</f>
        <v>0</v>
      </c>
      <c r="F59" s="115">
        <f>'5) Year 1-5 Staff Assumptions'!F53</f>
        <v>0</v>
      </c>
      <c r="G59" s="115">
        <f>'5) Year 1-5 Staff Assumptions'!G53</f>
        <v>0</v>
      </c>
      <c r="H59" s="115">
        <f>'5) Year 1-5 Staff Assumptions'!H53</f>
        <v>0</v>
      </c>
      <c r="I59" s="115">
        <f>'5) Year 1-5 Staff Assumptions'!I53</f>
        <v>0</v>
      </c>
      <c r="J59" s="166"/>
      <c r="K59" s="99"/>
    </row>
    <row r="60" spans="1:11" ht="29" x14ac:dyDescent="0.35">
      <c r="A60" s="101"/>
      <c r="B60" s="31" t="str">
        <f>'5) Year 1-5 Staff Assumptions'!B54</f>
        <v>Deans, Directors</v>
      </c>
      <c r="C60" s="128"/>
      <c r="D60" s="97"/>
      <c r="E60" s="115">
        <f>'6) Year 1 Budget'!E60</f>
        <v>60000</v>
      </c>
      <c r="F60" s="115">
        <f>'5) Year 1-5 Staff Assumptions'!F54</f>
        <v>122999.99999999999</v>
      </c>
      <c r="G60" s="115">
        <f>'5) Year 1-5 Staff Assumptions'!G54</f>
        <v>189112.5</v>
      </c>
      <c r="H60" s="115">
        <f>'5) Year 1-5 Staff Assumptions'!H54</f>
        <v>193840.31249999997</v>
      </c>
      <c r="I60" s="115">
        <f>'5) Year 1-5 Staff Assumptions'!I54</f>
        <v>198686.32031249997</v>
      </c>
      <c r="J60" s="261" t="s">
        <v>367</v>
      </c>
      <c r="K60" s="99"/>
    </row>
    <row r="61" spans="1:11" x14ac:dyDescent="0.35">
      <c r="A61" s="101"/>
      <c r="B61" s="31" t="str">
        <f>'5) Year 1-5 Staff Assumptions'!B55</f>
        <v>Other (Specify in Assumptions)</v>
      </c>
      <c r="C61" s="128"/>
      <c r="D61" s="97"/>
      <c r="E61" s="115">
        <f>'6) Year 1 Budget'!E61</f>
        <v>0</v>
      </c>
      <c r="F61" s="115">
        <f>'5) Year 1-5 Staff Assumptions'!F55</f>
        <v>0</v>
      </c>
      <c r="G61" s="115">
        <f>'5) Year 1-5 Staff Assumptions'!G55</f>
        <v>0</v>
      </c>
      <c r="H61" s="115">
        <f>'5) Year 1-5 Staff Assumptions'!H55</f>
        <v>0</v>
      </c>
      <c r="I61" s="115">
        <f>'5) Year 1-5 Staff Assumptions'!I55</f>
        <v>0</v>
      </c>
      <c r="J61" s="166"/>
      <c r="K61" s="99"/>
    </row>
    <row r="62" spans="1:11" x14ac:dyDescent="0.35">
      <c r="A62" s="101"/>
      <c r="B62" s="39" t="str">
        <f>'5) Year 1-5 Staff Assumptions'!B56</f>
        <v>Total Administrative Compensation</v>
      </c>
      <c r="C62" s="79"/>
      <c r="D62" s="127"/>
      <c r="E62" s="80">
        <f>'6) Year 1 Budget'!E62</f>
        <v>155000</v>
      </c>
      <c r="F62" s="115">
        <f>'5) Year 1-5 Staff Assumptions'!F56</f>
        <v>220374.99999999997</v>
      </c>
      <c r="G62" s="115">
        <f>'5) Year 1-5 Staff Assumptions'!G56</f>
        <v>288921.875</v>
      </c>
      <c r="H62" s="115">
        <f>'5) Year 1-5 Staff Assumptions'!H56</f>
        <v>296144.92187499994</v>
      </c>
      <c r="I62" s="115">
        <f>'5) Year 1-5 Staff Assumptions'!I56</f>
        <v>303548.54492187494</v>
      </c>
      <c r="J62" s="168"/>
      <c r="K62" s="99"/>
    </row>
    <row r="63" spans="1:11" x14ac:dyDescent="0.35">
      <c r="A63" s="101"/>
      <c r="B63" s="31"/>
      <c r="C63" s="128"/>
      <c r="D63" s="97"/>
      <c r="E63" s="110">
        <f>'6) Year 1 Budget'!E63</f>
        <v>0</v>
      </c>
      <c r="F63" s="110"/>
      <c r="G63" s="110"/>
      <c r="H63" s="110"/>
      <c r="I63" s="110"/>
      <c r="J63" s="110"/>
      <c r="K63" s="99"/>
    </row>
    <row r="64" spans="1:11" x14ac:dyDescent="0.35">
      <c r="A64" s="101"/>
      <c r="B64" s="39" t="str">
        <f>'5) Year 1-5 Staff Assumptions'!B58</f>
        <v>Instructional Staff</v>
      </c>
      <c r="C64" s="128"/>
      <c r="D64" s="128"/>
      <c r="E64" s="128"/>
      <c r="F64" s="128"/>
      <c r="G64" s="128"/>
      <c r="H64" s="128"/>
      <c r="I64" s="128"/>
      <c r="J64" s="128"/>
      <c r="K64" s="99"/>
    </row>
    <row r="65" spans="1:11" ht="29" x14ac:dyDescent="0.35">
      <c r="A65" s="101"/>
      <c r="B65" s="31" t="str">
        <f>'5) Year 1-5 Staff Assumptions'!B59</f>
        <v>Teachers</v>
      </c>
      <c r="C65" s="128"/>
      <c r="D65" s="97"/>
      <c r="E65" s="115">
        <f>'6) Year 1 Budget'!E65</f>
        <v>322000</v>
      </c>
      <c r="F65" s="115">
        <f>'5) Year 1-5 Staff Assumptions'!F59</f>
        <v>518649.99999999994</v>
      </c>
      <c r="G65" s="115">
        <f>'5) Year 1-5 Staff Assumptions'!G59</f>
        <v>676602.5</v>
      </c>
      <c r="H65" s="115">
        <f>'5) Year 1-5 Staff Assumptions'!H59</f>
        <v>842128.46874999988</v>
      </c>
      <c r="I65" s="115">
        <f>'5) Year 1-5 Staff Assumptions'!I59</f>
        <v>1015507.8593749998</v>
      </c>
      <c r="J65" s="261" t="s">
        <v>497</v>
      </c>
      <c r="K65" s="99"/>
    </row>
    <row r="66" spans="1:11" ht="29" x14ac:dyDescent="0.35">
      <c r="A66" s="101"/>
      <c r="B66" s="31" t="str">
        <f>'5) Year 1-5 Staff Assumptions'!B60</f>
        <v>Special Education Teachers</v>
      </c>
      <c r="C66" s="128"/>
      <c r="D66" s="97"/>
      <c r="E66" s="115">
        <f>'6) Year 1 Budget'!E66</f>
        <v>50000</v>
      </c>
      <c r="F66" s="115">
        <f>'5) Year 1-5 Staff Assumptions'!F60</f>
        <v>51249.999999999993</v>
      </c>
      <c r="G66" s="115">
        <f>'5) Year 1-5 Staff Assumptions'!G60</f>
        <v>157593.75</v>
      </c>
      <c r="H66" s="115">
        <f>'5) Year 1-5 Staff Assumptions'!H60</f>
        <v>215378.12499999997</v>
      </c>
      <c r="I66" s="115">
        <f>'5) Year 1-5 Staff Assumptions'!I60</f>
        <v>275953.22265624994</v>
      </c>
      <c r="J66" s="261" t="s">
        <v>498</v>
      </c>
      <c r="K66" s="99"/>
    </row>
    <row r="67" spans="1:11" x14ac:dyDescent="0.35">
      <c r="A67" s="101"/>
      <c r="B67" s="31" t="str">
        <f>'5) Year 1-5 Staff Assumptions'!B61</f>
        <v>Eduacational Assistants/Aides</v>
      </c>
      <c r="C67" s="128"/>
      <c r="D67" s="97"/>
      <c r="E67" s="115">
        <f>'6) Year 1 Budget'!E67</f>
        <v>0</v>
      </c>
      <c r="F67" s="115">
        <f>'5) Year 1-5 Staff Assumptions'!F61</f>
        <v>0</v>
      </c>
      <c r="G67" s="115">
        <f>'5) Year 1-5 Staff Assumptions'!G61</f>
        <v>0</v>
      </c>
      <c r="H67" s="115">
        <f>'5) Year 1-5 Staff Assumptions'!H61</f>
        <v>0</v>
      </c>
      <c r="I67" s="115">
        <f>'5) Year 1-5 Staff Assumptions'!I61</f>
        <v>0</v>
      </c>
      <c r="J67" s="166"/>
      <c r="K67" s="99"/>
    </row>
    <row r="68" spans="1:11" x14ac:dyDescent="0.35">
      <c r="A68" s="101"/>
      <c r="B68" s="31" t="str">
        <f>'5) Year 1-5 Staff Assumptions'!B62</f>
        <v>Elective Teachers</v>
      </c>
      <c r="C68" s="128"/>
      <c r="D68" s="97"/>
      <c r="E68" s="115">
        <f>'6) Year 1 Budget'!E68</f>
        <v>35000</v>
      </c>
      <c r="F68" s="115">
        <f>'5) Year 1-5 Staff Assumptions'!F62</f>
        <v>71750</v>
      </c>
      <c r="G68" s="115">
        <f>'5) Year 1-5 Staff Assumptions'!G62</f>
        <v>73543.75</v>
      </c>
      <c r="H68" s="115">
        <f>'5) Year 1-5 Staff Assumptions'!H62</f>
        <v>150764.68749999997</v>
      </c>
      <c r="I68" s="115">
        <f>'5) Year 1-5 Staff Assumptions'!I62</f>
        <v>154533.80468749997</v>
      </c>
      <c r="J68" s="165" t="s">
        <v>499</v>
      </c>
      <c r="K68" s="99"/>
    </row>
    <row r="69" spans="1:11" x14ac:dyDescent="0.35">
      <c r="A69" s="101"/>
      <c r="B69" s="31" t="str">
        <f>'5) Year 1-5 Staff Assumptions'!B63</f>
        <v>Other (Specify in Assumptions)</v>
      </c>
      <c r="C69" s="128"/>
      <c r="D69" s="97"/>
      <c r="E69" s="115">
        <f>'6) Year 1 Budget'!E69</f>
        <v>0</v>
      </c>
      <c r="F69" s="115">
        <f>'5) Year 1-5 Staff Assumptions'!F63</f>
        <v>0</v>
      </c>
      <c r="G69" s="115">
        <f>'5) Year 1-5 Staff Assumptions'!G63</f>
        <v>0</v>
      </c>
      <c r="H69" s="115">
        <f>'5) Year 1-5 Staff Assumptions'!H63</f>
        <v>0</v>
      </c>
      <c r="I69" s="115">
        <f>'5) Year 1-5 Staff Assumptions'!I63</f>
        <v>0</v>
      </c>
      <c r="J69" s="166"/>
      <c r="K69" s="99"/>
    </row>
    <row r="70" spans="1:11" x14ac:dyDescent="0.35">
      <c r="A70" s="101"/>
      <c r="B70" s="39" t="str">
        <f>'5) Year 1-5 Staff Assumptions'!B64</f>
        <v>Total Instructional Compensation</v>
      </c>
      <c r="C70" s="79"/>
      <c r="D70" s="127"/>
      <c r="E70" s="80">
        <f>'6) Year 1 Budget'!E70</f>
        <v>407000</v>
      </c>
      <c r="F70" s="115">
        <f>'5) Year 1-5 Staff Assumptions'!F64</f>
        <v>641649.99999999988</v>
      </c>
      <c r="G70" s="115">
        <f>'5) Year 1-5 Staff Assumptions'!G64</f>
        <v>907740</v>
      </c>
      <c r="H70" s="115">
        <f>'5) Year 1-5 Staff Assumptions'!H64</f>
        <v>1208271.2812499998</v>
      </c>
      <c r="I70" s="115">
        <f>'5) Year 1-5 Staff Assumptions'!I64</f>
        <v>1445994.8867187498</v>
      </c>
      <c r="J70" s="168"/>
      <c r="K70" s="99"/>
    </row>
    <row r="71" spans="1:11" x14ac:dyDescent="0.35">
      <c r="A71" s="101"/>
      <c r="B71" s="31"/>
      <c r="C71" s="128"/>
      <c r="D71" s="108"/>
      <c r="E71" s="110"/>
      <c r="F71" s="110"/>
      <c r="G71" s="110"/>
      <c r="H71" s="110"/>
      <c r="I71" s="110"/>
      <c r="J71" s="110"/>
      <c r="K71" s="99"/>
    </row>
    <row r="72" spans="1:11" x14ac:dyDescent="0.35">
      <c r="A72" s="101"/>
      <c r="B72" s="39" t="str">
        <f>'5) Year 1-5 Staff Assumptions'!B66</f>
        <v>Non-Instructional Staff</v>
      </c>
      <c r="C72" s="128"/>
      <c r="D72" s="128"/>
      <c r="E72" s="128"/>
      <c r="F72" s="128"/>
      <c r="G72" s="128"/>
      <c r="H72" s="128"/>
      <c r="I72" s="128"/>
      <c r="J72" s="128"/>
      <c r="K72" s="99"/>
    </row>
    <row r="73" spans="1:11" x14ac:dyDescent="0.35">
      <c r="A73" s="101"/>
      <c r="B73" s="31" t="str">
        <f>'5) Year 1-5 Staff Assumptions'!B67</f>
        <v>Clerical Staff</v>
      </c>
      <c r="C73" s="128"/>
      <c r="D73" s="61"/>
      <c r="E73" s="115">
        <f>'6) Year 1 Budget'!E73</f>
        <v>32000</v>
      </c>
      <c r="F73" s="115">
        <f>'5) Year 1-5 Staff Assumptions'!F67</f>
        <v>32800</v>
      </c>
      <c r="G73" s="115">
        <f>'5) Year 1-5 Staff Assumptions'!G67</f>
        <v>33620</v>
      </c>
      <c r="H73" s="115">
        <f>'5) Year 1-5 Staff Assumptions'!H67</f>
        <v>34460.499999999993</v>
      </c>
      <c r="I73" s="115">
        <f>'5) Year 1-5 Staff Assumptions'!I67</f>
        <v>35322.01249999999</v>
      </c>
      <c r="J73" s="165" t="s">
        <v>500</v>
      </c>
      <c r="K73" s="99"/>
    </row>
    <row r="74" spans="1:11" x14ac:dyDescent="0.35">
      <c r="A74" s="101"/>
      <c r="B74" s="31" t="str">
        <f>'5) Year 1-5 Staff Assumptions'!B68</f>
        <v>Custodial Staff</v>
      </c>
      <c r="C74" s="128"/>
      <c r="D74" s="61"/>
      <c r="E74" s="115">
        <f>'6) Year 1 Budget'!E74</f>
        <v>0</v>
      </c>
      <c r="F74" s="115">
        <f>'5) Year 1-5 Staff Assumptions'!F68</f>
        <v>0</v>
      </c>
      <c r="G74" s="115">
        <f>'5) Year 1-5 Staff Assumptions'!G68</f>
        <v>0</v>
      </c>
      <c r="H74" s="115">
        <f>'5) Year 1-5 Staff Assumptions'!H68</f>
        <v>0</v>
      </c>
      <c r="I74" s="115">
        <f>'5) Year 1-5 Staff Assumptions'!I68</f>
        <v>0</v>
      </c>
      <c r="J74" s="166"/>
      <c r="K74" s="99"/>
    </row>
    <row r="75" spans="1:11" x14ac:dyDescent="0.35">
      <c r="A75" s="101"/>
      <c r="B75" s="31" t="str">
        <f>'5) Year 1-5 Staff Assumptions'!B69</f>
        <v>Operations</v>
      </c>
      <c r="C75" s="128"/>
      <c r="D75" s="61"/>
      <c r="E75" s="115">
        <f>'6) Year 1 Budget'!E75</f>
        <v>0</v>
      </c>
      <c r="F75" s="115">
        <f>'5) Year 1-5 Staff Assumptions'!F69</f>
        <v>0</v>
      </c>
      <c r="G75" s="115">
        <f>'5) Year 1-5 Staff Assumptions'!G69</f>
        <v>0</v>
      </c>
      <c r="H75" s="115">
        <f>'5) Year 1-5 Staff Assumptions'!H69</f>
        <v>0</v>
      </c>
      <c r="I75" s="115">
        <f>'5) Year 1-5 Staff Assumptions'!I69</f>
        <v>40841.07695312499</v>
      </c>
      <c r="J75" s="165" t="s">
        <v>368</v>
      </c>
      <c r="K75" s="99"/>
    </row>
    <row r="76" spans="1:11" x14ac:dyDescent="0.35">
      <c r="A76" s="101"/>
      <c r="B76" s="31" t="str">
        <f>'5) Year 1-5 Staff Assumptions'!B70</f>
        <v>Social Workers/Counseling</v>
      </c>
      <c r="C76" s="128"/>
      <c r="D76" s="61"/>
      <c r="E76" s="115">
        <f>'6) Year 1 Budget'!E76</f>
        <v>0</v>
      </c>
      <c r="F76" s="115">
        <f>'5) Year 1-5 Staff Assumptions'!F70</f>
        <v>0</v>
      </c>
      <c r="G76" s="115">
        <f>'5) Year 1-5 Staff Assumptions'!G70</f>
        <v>0</v>
      </c>
      <c r="H76" s="115">
        <f>'5) Year 1-5 Staff Assumptions'!H70</f>
        <v>53844.531249999993</v>
      </c>
      <c r="I76" s="115">
        <f>'5) Year 1-5 Staff Assumptions'!I70</f>
        <v>55190.644531249985</v>
      </c>
      <c r="J76" s="165" t="s">
        <v>369</v>
      </c>
      <c r="K76" s="99"/>
    </row>
    <row r="77" spans="1:11" x14ac:dyDescent="0.35">
      <c r="A77" s="101"/>
      <c r="B77" s="31" t="str">
        <f>'5) Year 1-5 Staff Assumptions'!B71</f>
        <v>Other (Specify in Assumptions)</v>
      </c>
      <c r="C77" s="128"/>
      <c r="D77" s="61"/>
      <c r="E77" s="115">
        <f>'6) Year 1 Budget'!E77</f>
        <v>0</v>
      </c>
      <c r="F77" s="115">
        <f>'5) Year 1-5 Staff Assumptions'!F71</f>
        <v>0</v>
      </c>
      <c r="G77" s="115">
        <f>'5) Year 1-5 Staff Assumptions'!G71</f>
        <v>0</v>
      </c>
      <c r="H77" s="115">
        <f>'5) Year 1-5 Staff Assumptions'!H71</f>
        <v>0</v>
      </c>
      <c r="I77" s="115">
        <f>'5) Year 1-5 Staff Assumptions'!I71</f>
        <v>0</v>
      </c>
      <c r="J77" s="166"/>
      <c r="K77" s="99"/>
    </row>
    <row r="78" spans="1:11" x14ac:dyDescent="0.35">
      <c r="A78" s="101"/>
      <c r="B78" s="39" t="str">
        <f>'5) Year 1-5 Staff Assumptions'!B72</f>
        <v>Total Non-Instructional  Compensation</v>
      </c>
      <c r="C78" s="79"/>
      <c r="D78" s="58"/>
      <c r="E78" s="80">
        <f>'6) Year 1 Budget'!E78</f>
        <v>32000</v>
      </c>
      <c r="F78" s="115">
        <f>'5) Year 1-5 Staff Assumptions'!F72</f>
        <v>32800</v>
      </c>
      <c r="G78" s="115">
        <f>'5) Year 1-5 Staff Assumptions'!G72</f>
        <v>33620</v>
      </c>
      <c r="H78" s="115">
        <f>'5) Year 1-5 Staff Assumptions'!H72</f>
        <v>88305.031249999985</v>
      </c>
      <c r="I78" s="115">
        <f>'5) Year 1-5 Staff Assumptions'!I72</f>
        <v>131353.73398437497</v>
      </c>
      <c r="J78" s="168"/>
      <c r="K78" s="99"/>
    </row>
    <row r="79" spans="1:11" x14ac:dyDescent="0.35">
      <c r="A79" s="101"/>
      <c r="B79" s="31"/>
      <c r="C79" s="61"/>
      <c r="D79" s="61"/>
      <c r="E79" s="110"/>
      <c r="F79" s="110"/>
      <c r="G79" s="110"/>
      <c r="H79" s="110"/>
      <c r="I79" s="110"/>
      <c r="J79" s="110"/>
      <c r="K79" s="99"/>
    </row>
    <row r="80" spans="1:11" x14ac:dyDescent="0.35">
      <c r="A80" s="101"/>
      <c r="B80" s="31" t="str">
        <f>'5) Year 1-5 Staff Assumptions'!B74</f>
        <v>Other Compensation</v>
      </c>
      <c r="C80" s="61"/>
      <c r="D80" s="61"/>
      <c r="E80" s="115">
        <f>'6) Year 1 Budget'!E80</f>
        <v>0</v>
      </c>
      <c r="F80" s="115">
        <f>'5) Year 1-5 Staff Assumptions'!F74</f>
        <v>0</v>
      </c>
      <c r="G80" s="115">
        <f>'5) Year 1-5 Staff Assumptions'!G74</f>
        <v>0</v>
      </c>
      <c r="H80" s="115">
        <f>'5) Year 1-5 Staff Assumptions'!H74</f>
        <v>0</v>
      </c>
      <c r="I80" s="115">
        <f>'5) Year 1-5 Staff Assumptions'!I74</f>
        <v>0</v>
      </c>
      <c r="J80" s="166"/>
      <c r="K80" s="99"/>
    </row>
    <row r="81" spans="1:11" x14ac:dyDescent="0.35">
      <c r="A81" s="101"/>
      <c r="B81" s="31" t="str">
        <f>'5) Year 1-5 Staff Assumptions'!B75</f>
        <v>Other Compensation</v>
      </c>
      <c r="C81" s="61"/>
      <c r="D81" s="61"/>
      <c r="E81" s="115">
        <f>'6) Year 1 Budget'!E81</f>
        <v>0</v>
      </c>
      <c r="F81" s="115">
        <f>'5) Year 1-5 Staff Assumptions'!F75</f>
        <v>0</v>
      </c>
      <c r="G81" s="115">
        <f>'5) Year 1-5 Staff Assumptions'!G75</f>
        <v>0</v>
      </c>
      <c r="H81" s="115">
        <f>'5) Year 1-5 Staff Assumptions'!H75</f>
        <v>0</v>
      </c>
      <c r="I81" s="115">
        <f>'5) Year 1-5 Staff Assumptions'!I75</f>
        <v>0</v>
      </c>
      <c r="J81" s="166"/>
      <c r="K81" s="99"/>
    </row>
    <row r="82" spans="1:11" x14ac:dyDescent="0.35">
      <c r="A82" s="101"/>
      <c r="B82" s="31" t="str">
        <f>'5) Year 1-5 Staff Assumptions'!B76</f>
        <v>Other Compensation</v>
      </c>
      <c r="C82" s="61"/>
      <c r="D82" s="61"/>
      <c r="E82" s="115">
        <f>'6) Year 1 Budget'!E82</f>
        <v>0</v>
      </c>
      <c r="F82" s="115">
        <f>'5) Year 1-5 Staff Assumptions'!F76</f>
        <v>0</v>
      </c>
      <c r="G82" s="115">
        <f>'5) Year 1-5 Staff Assumptions'!G76</f>
        <v>0</v>
      </c>
      <c r="H82" s="115">
        <f>'5) Year 1-5 Staff Assumptions'!H76</f>
        <v>0</v>
      </c>
      <c r="I82" s="115">
        <f>'5) Year 1-5 Staff Assumptions'!I76</f>
        <v>0</v>
      </c>
      <c r="J82" s="166"/>
      <c r="K82" s="99"/>
    </row>
    <row r="83" spans="1:11" x14ac:dyDescent="0.35">
      <c r="A83" s="101"/>
      <c r="B83" s="31" t="str">
        <f>'5) Year 1-5 Staff Assumptions'!B77</f>
        <v>Other Compensation</v>
      </c>
      <c r="C83" s="61"/>
      <c r="D83" s="61"/>
      <c r="E83" s="115">
        <f>'6) Year 1 Budget'!E83</f>
        <v>0</v>
      </c>
      <c r="F83" s="115">
        <f>'5) Year 1-5 Staff Assumptions'!F77</f>
        <v>0</v>
      </c>
      <c r="G83" s="115">
        <f>'5) Year 1-5 Staff Assumptions'!G77</f>
        <v>0</v>
      </c>
      <c r="H83" s="115">
        <f>'5) Year 1-5 Staff Assumptions'!H77</f>
        <v>0</v>
      </c>
      <c r="I83" s="115">
        <f>'5) Year 1-5 Staff Assumptions'!I77</f>
        <v>0</v>
      </c>
      <c r="J83" s="166"/>
      <c r="K83" s="99"/>
    </row>
    <row r="84" spans="1:11" x14ac:dyDescent="0.35">
      <c r="A84" s="101"/>
      <c r="B84" s="31"/>
      <c r="C84" s="61"/>
      <c r="D84" s="61"/>
      <c r="E84" s="110"/>
      <c r="F84" s="110"/>
      <c r="G84" s="110"/>
      <c r="H84" s="110"/>
      <c r="I84" s="110"/>
      <c r="J84" s="110"/>
      <c r="K84" s="99"/>
    </row>
    <row r="85" spans="1:11" ht="15" thickBot="1" x14ac:dyDescent="0.4">
      <c r="A85" s="101"/>
      <c r="B85" s="39" t="str">
        <f>'5) Year 1-5 Staff Assumptions'!B79</f>
        <v>Total Compensation</v>
      </c>
      <c r="C85" s="58"/>
      <c r="D85" s="58"/>
      <c r="E85" s="71">
        <f>'6) Year 1 Budget'!E85</f>
        <v>594000</v>
      </c>
      <c r="F85" s="71">
        <f>'5) Year 1-5 Staff Assumptions'!F79</f>
        <v>894824.99999999988</v>
      </c>
      <c r="G85" s="71">
        <f>'5) Year 1-5 Staff Assumptions'!G79</f>
        <v>1230281.875</v>
      </c>
      <c r="H85" s="71">
        <f>'5) Year 1-5 Staff Assumptions'!H79</f>
        <v>1592721.2343749998</v>
      </c>
      <c r="I85" s="71">
        <f>'5) Year 1-5 Staff Assumptions'!I79</f>
        <v>1880897.1656249997</v>
      </c>
      <c r="J85" s="72"/>
      <c r="K85" s="99"/>
    </row>
    <row r="86" spans="1:11" ht="15" thickTop="1" x14ac:dyDescent="0.35">
      <c r="A86" s="101"/>
      <c r="B86" s="49"/>
      <c r="C86" s="61"/>
      <c r="D86" s="61"/>
      <c r="E86" s="122"/>
      <c r="F86" s="122"/>
      <c r="G86" s="122"/>
      <c r="H86" s="122"/>
      <c r="I86" s="122"/>
      <c r="J86" s="122"/>
      <c r="K86" s="99"/>
    </row>
    <row r="87" spans="1:11" ht="15" thickBot="1" x14ac:dyDescent="0.4">
      <c r="A87" s="101"/>
      <c r="B87" s="181"/>
      <c r="C87" s="220"/>
      <c r="D87" s="220"/>
      <c r="E87" s="241"/>
      <c r="F87" s="241"/>
      <c r="G87" s="241"/>
      <c r="H87" s="241"/>
      <c r="I87" s="241"/>
      <c r="J87" s="241"/>
      <c r="K87" s="134"/>
    </row>
    <row r="88" spans="1:11" ht="14.65" customHeight="1" x14ac:dyDescent="0.35">
      <c r="A88" s="101"/>
      <c r="B88" s="333" t="s">
        <v>158</v>
      </c>
      <c r="C88" s="316"/>
      <c r="D88" s="316"/>
      <c r="E88" s="316"/>
      <c r="F88" s="316"/>
      <c r="G88" s="316"/>
      <c r="H88" s="316"/>
      <c r="I88" s="316"/>
      <c r="J88" s="316"/>
      <c r="K88" s="334"/>
    </row>
    <row r="89" spans="1:11" ht="14.65" customHeight="1" x14ac:dyDescent="0.35">
      <c r="A89" s="101"/>
      <c r="B89" s="96"/>
      <c r="C89" s="97"/>
      <c r="D89" s="97"/>
      <c r="E89" s="97"/>
      <c r="F89" s="97"/>
      <c r="G89" s="97"/>
      <c r="H89" s="97"/>
      <c r="I89" s="97"/>
      <c r="J89" s="97"/>
      <c r="K89" s="99"/>
    </row>
    <row r="90" spans="1:11" x14ac:dyDescent="0.35">
      <c r="A90" s="101"/>
      <c r="B90" s="96"/>
      <c r="C90" s="97"/>
      <c r="D90" s="97"/>
      <c r="E90" s="120" t="s">
        <v>47</v>
      </c>
      <c r="F90" s="120" t="s">
        <v>48</v>
      </c>
      <c r="G90" s="120" t="s">
        <v>49</v>
      </c>
      <c r="H90" s="120" t="s">
        <v>50</v>
      </c>
      <c r="I90" s="120" t="s">
        <v>51</v>
      </c>
      <c r="J90" s="164"/>
      <c r="K90" s="99"/>
    </row>
    <row r="91" spans="1:11" x14ac:dyDescent="0.35">
      <c r="A91" s="105"/>
      <c r="B91" s="49"/>
      <c r="C91" s="58"/>
      <c r="D91" s="2"/>
      <c r="E91" s="121" t="str">
        <f>E11</f>
        <v>2021-22</v>
      </c>
      <c r="F91" s="121" t="str">
        <f>F11</f>
        <v>2022-23</v>
      </c>
      <c r="G91" s="121" t="str">
        <f>G11</f>
        <v>2023-24</v>
      </c>
      <c r="H91" s="121" t="str">
        <f>H11</f>
        <v>2024-25</v>
      </c>
      <c r="I91" s="121" t="str">
        <f>I11</f>
        <v>2026-27</v>
      </c>
      <c r="J91" s="163"/>
      <c r="K91" s="99"/>
    </row>
    <row r="92" spans="1:11" x14ac:dyDescent="0.35">
      <c r="A92" s="105"/>
      <c r="B92" s="49"/>
      <c r="C92" s="58"/>
      <c r="D92" s="2"/>
      <c r="E92" s="122"/>
      <c r="F92" s="122"/>
      <c r="G92" s="122"/>
      <c r="H92" s="122"/>
      <c r="I92" s="122"/>
      <c r="J92" s="163"/>
      <c r="K92" s="99"/>
    </row>
    <row r="93" spans="1:11" x14ac:dyDescent="0.35">
      <c r="A93" s="105"/>
      <c r="B93" s="49"/>
      <c r="C93" s="58"/>
      <c r="D93" s="2"/>
      <c r="E93" s="122"/>
      <c r="F93" s="122"/>
      <c r="G93" s="122"/>
      <c r="H93" s="122"/>
      <c r="I93" s="122"/>
      <c r="J93" s="63" t="s">
        <v>133</v>
      </c>
      <c r="K93" s="99"/>
    </row>
    <row r="94" spans="1:11" x14ac:dyDescent="0.35">
      <c r="A94" s="105"/>
      <c r="B94" s="49" t="str">
        <f>'5) Year 1-5 Staff Assumptions'!B86</f>
        <v xml:space="preserve">Social Security </v>
      </c>
      <c r="C94" s="61"/>
      <c r="D94" s="61"/>
      <c r="E94" s="130">
        <f>'6) Year 1 Budget'!E94</f>
        <v>36828</v>
      </c>
      <c r="F94" s="130">
        <f>'5) Year 1-5 Staff Assumptions'!F86</f>
        <v>55479.149999999994</v>
      </c>
      <c r="G94" s="130">
        <f>'5) Year 1-5 Staff Assumptions'!G86</f>
        <v>76277.476249999992</v>
      </c>
      <c r="H94" s="130">
        <f>'5) Year 1-5 Staff Assumptions'!H86</f>
        <v>98748.716531249986</v>
      </c>
      <c r="I94" s="130">
        <f>'5) Year 1-5 Staff Assumptions'!I86</f>
        <v>116615.62426874998</v>
      </c>
      <c r="J94" s="165" t="s">
        <v>501</v>
      </c>
      <c r="K94" s="99"/>
    </row>
    <row r="95" spans="1:11" x14ac:dyDescent="0.35">
      <c r="A95" s="101"/>
      <c r="B95" s="49" t="str">
        <f>'5) Year 1-5 Staff Assumptions'!B87</f>
        <v>Medicare</v>
      </c>
      <c r="C95" s="61"/>
      <c r="D95" s="61"/>
      <c r="E95" s="130">
        <f>'6) Year 1 Budget'!E95</f>
        <v>8613</v>
      </c>
      <c r="F95" s="130">
        <f>'5) Year 1-5 Staff Assumptions'!F87</f>
        <v>12974.9625</v>
      </c>
      <c r="G95" s="130">
        <f>'5) Year 1-5 Staff Assumptions'!G87</f>
        <v>17839.087187500001</v>
      </c>
      <c r="H95" s="130">
        <f>'5) Year 1-5 Staff Assumptions'!H87</f>
        <v>23094.457898437497</v>
      </c>
      <c r="I95" s="130">
        <f>'5) Year 1-5 Staff Assumptions'!I87</f>
        <v>27273.008901562498</v>
      </c>
      <c r="J95" s="165" t="s">
        <v>394</v>
      </c>
      <c r="K95" s="99"/>
    </row>
    <row r="96" spans="1:11" x14ac:dyDescent="0.35">
      <c r="A96" s="105"/>
      <c r="B96" s="49" t="str">
        <f>'5) Year 1-5 Staff Assumptions'!B88</f>
        <v>State Unemployment</v>
      </c>
      <c r="C96" s="61"/>
      <c r="D96" s="61"/>
      <c r="E96" s="130">
        <f>'6) Year 1 Budget'!E96</f>
        <v>4800</v>
      </c>
      <c r="F96" s="130">
        <f>'5) Year 1-5 Staff Assumptions'!F88</f>
        <v>7200</v>
      </c>
      <c r="G96" s="130">
        <f>'5) Year 1-5 Staff Assumptions'!G88</f>
        <v>9600</v>
      </c>
      <c r="H96" s="130">
        <f>'5) Year 1-5 Staff Assumptions'!H88</f>
        <v>12400</v>
      </c>
      <c r="I96" s="130">
        <f>'5) Year 1-5 Staff Assumptions'!I88</f>
        <v>14400</v>
      </c>
      <c r="J96" s="165" t="s">
        <v>395</v>
      </c>
      <c r="K96" s="99"/>
    </row>
    <row r="97" spans="1:11" x14ac:dyDescent="0.35">
      <c r="A97" s="105"/>
      <c r="B97" s="49" t="str">
        <f>'5) Year 1-5 Staff Assumptions'!B89</f>
        <v>Disability/Life Insurance</v>
      </c>
      <c r="C97" s="61"/>
      <c r="D97" s="61"/>
      <c r="E97" s="130">
        <f>'6) Year 1 Budget'!E97</f>
        <v>1485</v>
      </c>
      <c r="F97" s="130">
        <f>'5) Year 1-5 Staff Assumptions'!F89</f>
        <v>2237.0624999999995</v>
      </c>
      <c r="G97" s="130">
        <f>'5) Year 1-5 Staff Assumptions'!G89</f>
        <v>3075.7046875000001</v>
      </c>
      <c r="H97" s="130">
        <f>'5) Year 1-5 Staff Assumptions'!H89</f>
        <v>3981.8030859374994</v>
      </c>
      <c r="I97" s="130">
        <f>'5) Year 1-5 Staff Assumptions'!I89</f>
        <v>4702.242914062499</v>
      </c>
      <c r="J97" s="248" t="s">
        <v>438</v>
      </c>
      <c r="K97" s="99"/>
    </row>
    <row r="98" spans="1:11" x14ac:dyDescent="0.35">
      <c r="A98" s="105"/>
      <c r="B98" s="49" t="str">
        <f>'5) Year 1-5 Staff Assumptions'!B90</f>
        <v>Workers Compensation Insurance</v>
      </c>
      <c r="C98" s="61"/>
      <c r="D98" s="61"/>
      <c r="E98" s="130">
        <f>'6) Year 1 Budget'!E98</f>
        <v>7425</v>
      </c>
      <c r="F98" s="130">
        <f>'5) Year 1-5 Staff Assumptions'!F90</f>
        <v>11185.3125</v>
      </c>
      <c r="G98" s="130">
        <f>'5) Year 1-5 Staff Assumptions'!G90</f>
        <v>15378.5234375</v>
      </c>
      <c r="H98" s="130">
        <f>'5) Year 1-5 Staff Assumptions'!H90</f>
        <v>19909.015429687497</v>
      </c>
      <c r="I98" s="130">
        <f>'5) Year 1-5 Staff Assumptions'!I90</f>
        <v>23511.214570312499</v>
      </c>
      <c r="J98" s="249" t="s">
        <v>439</v>
      </c>
      <c r="K98" s="99"/>
    </row>
    <row r="99" spans="1:11" x14ac:dyDescent="0.35">
      <c r="A99" s="105"/>
      <c r="B99" s="49" t="str">
        <f>'5) Year 1-5 Staff Assumptions'!B91</f>
        <v>Other Fringe Benefits</v>
      </c>
      <c r="C99" s="61"/>
      <c r="D99" s="61"/>
      <c r="E99" s="130">
        <f>'6) Year 1 Budget'!E99</f>
        <v>0</v>
      </c>
      <c r="F99" s="130">
        <f>'5) Year 1-5 Staff Assumptions'!F91</f>
        <v>0</v>
      </c>
      <c r="G99" s="130">
        <f>'5) Year 1-5 Staff Assumptions'!G91</f>
        <v>0</v>
      </c>
      <c r="H99" s="130">
        <f>'5) Year 1-5 Staff Assumptions'!H91</f>
        <v>0</v>
      </c>
      <c r="I99" s="130">
        <f>'5) Year 1-5 Staff Assumptions'!I91</f>
        <v>0</v>
      </c>
      <c r="J99" s="166"/>
      <c r="K99" s="99"/>
    </row>
    <row r="100" spans="1:11" x14ac:dyDescent="0.35">
      <c r="A100" s="101"/>
      <c r="B100" s="49" t="str">
        <f>'5) Year 1-5 Staff Assumptions'!B96</f>
        <v>Medical Insurance</v>
      </c>
      <c r="C100" s="61"/>
      <c r="D100" s="61"/>
      <c r="E100" s="130">
        <f>'6) Year 1 Budget'!E100</f>
        <v>43200</v>
      </c>
      <c r="F100" s="130">
        <f>'5) Year 1-5 Staff Assumptions'!F96</f>
        <v>67392</v>
      </c>
      <c r="G100" s="130">
        <f>'5) Year 1-5 Staff Assumptions'!G96</f>
        <v>93450.240000000005</v>
      </c>
      <c r="H100" s="130">
        <f>'5) Year 1-5 Staff Assumptions'!H96</f>
        <v>125534.8224</v>
      </c>
      <c r="I100" s="130">
        <f>'5) Year 1-5 Staff Assumptions'!I96</f>
        <v>151613.66937600003</v>
      </c>
      <c r="J100" s="165" t="s">
        <v>398</v>
      </c>
      <c r="K100" s="99"/>
    </row>
    <row r="101" spans="1:11" x14ac:dyDescent="0.35">
      <c r="A101" s="101"/>
      <c r="B101" s="49" t="str">
        <f>'5) Year 1-5 Staff Assumptions'!B97</f>
        <v>Dental Insurance</v>
      </c>
      <c r="C101" s="61"/>
      <c r="D101" s="61"/>
      <c r="E101" s="130">
        <f>'6) Year 1 Budget'!E101</f>
        <v>10800</v>
      </c>
      <c r="F101" s="130">
        <f>E101*(1+'5) Year 1-5 Staff Assumptions'!F$93)</f>
        <v>11232</v>
      </c>
      <c r="G101" s="130">
        <f>F101*(1+'5) Year 1-5 Staff Assumptions'!G$93)</f>
        <v>11681.28</v>
      </c>
      <c r="H101" s="130">
        <f>G101*(1+'5) Year 1-5 Staff Assumptions'!H$93)</f>
        <v>12148.531200000001</v>
      </c>
      <c r="I101" s="130">
        <f>H101*(1+'5) Year 1-5 Staff Assumptions'!I$93)</f>
        <v>12634.472448000002</v>
      </c>
      <c r="J101" s="165" t="s">
        <v>399</v>
      </c>
      <c r="K101" s="99"/>
    </row>
    <row r="102" spans="1:11" x14ac:dyDescent="0.35">
      <c r="A102" s="101"/>
      <c r="B102" s="49" t="str">
        <f>'5) Year 1-5 Staff Assumptions'!B98</f>
        <v>Vision Insurance</v>
      </c>
      <c r="C102" s="61"/>
      <c r="D102" s="61"/>
      <c r="E102" s="130">
        <f>'6) Year 1 Budget'!E102</f>
        <v>3600</v>
      </c>
      <c r="F102" s="130">
        <f>E102*(1+'5) Year 1-5 Staff Assumptions'!F$93)</f>
        <v>3744</v>
      </c>
      <c r="G102" s="130">
        <f>F102*(1+'5) Year 1-5 Staff Assumptions'!G$93)</f>
        <v>3893.76</v>
      </c>
      <c r="H102" s="130">
        <f>G102*(1+'5) Year 1-5 Staff Assumptions'!H$93)</f>
        <v>4049.5104000000006</v>
      </c>
      <c r="I102" s="130">
        <f>H102*(1+'5) Year 1-5 Staff Assumptions'!I$93)</f>
        <v>4211.4908160000005</v>
      </c>
      <c r="J102" s="165" t="s">
        <v>400</v>
      </c>
      <c r="K102" s="99"/>
    </row>
    <row r="103" spans="1:11" x14ac:dyDescent="0.35">
      <c r="A103" s="101"/>
      <c r="B103" s="49" t="str">
        <f>'5) Year 1-5 Staff Assumptions'!B100</f>
        <v>TCRS Certified Legacy</v>
      </c>
      <c r="C103" s="61"/>
      <c r="D103" s="61"/>
      <c r="E103" s="130">
        <f>'6) Year 1 Budget'!E103</f>
        <v>62132.4</v>
      </c>
      <c r="F103" s="130">
        <f>'5) Year 1-5 Staff Assumptions'!F100</f>
        <v>93598.694999999992</v>
      </c>
      <c r="G103" s="130">
        <f>'5) Year 1-5 Staff Assumptions'!G100</f>
        <v>128687.484125</v>
      </c>
      <c r="H103" s="130">
        <f>'5) Year 1-5 Staff Assumptions'!H100</f>
        <v>166598.64111562498</v>
      </c>
      <c r="I103" s="130">
        <f>'5) Year 1-5 Staff Assumptions'!I100</f>
        <v>196741.84352437497</v>
      </c>
      <c r="J103" s="165" t="s">
        <v>336</v>
      </c>
      <c r="K103" s="99"/>
    </row>
    <row r="104" spans="1:11" x14ac:dyDescent="0.35">
      <c r="A104" s="101"/>
      <c r="B104" s="49" t="str">
        <f>'5) Year 1-5 Staff Assumptions'!B101</f>
        <v>TCRS Certified Hybrid</v>
      </c>
      <c r="C104" s="61"/>
      <c r="D104" s="61"/>
      <c r="E104" s="130">
        <f>'6) Year 1 Budget'!E104</f>
        <v>0</v>
      </c>
      <c r="F104" s="130">
        <v>0</v>
      </c>
      <c r="G104" s="130">
        <v>0</v>
      </c>
      <c r="H104" s="130">
        <v>0</v>
      </c>
      <c r="I104" s="130">
        <v>0</v>
      </c>
      <c r="J104" s="166"/>
      <c r="K104" s="99"/>
    </row>
    <row r="105" spans="1:11" x14ac:dyDescent="0.35">
      <c r="A105" s="101"/>
      <c r="B105" s="49" t="str">
        <f>'5) Year 1-5 Staff Assumptions'!B102</f>
        <v>TCRS Classified Legacy</v>
      </c>
      <c r="C105" s="61"/>
      <c r="D105" s="61"/>
      <c r="E105" s="130">
        <f>'6) Year 1 Budget'!E105</f>
        <v>0</v>
      </c>
      <c r="F105" s="130">
        <v>0</v>
      </c>
      <c r="G105" s="130">
        <v>0</v>
      </c>
      <c r="H105" s="130">
        <v>0</v>
      </c>
      <c r="I105" s="130">
        <v>0</v>
      </c>
      <c r="J105" s="166"/>
      <c r="K105" s="99"/>
    </row>
    <row r="106" spans="1:11" x14ac:dyDescent="0.35">
      <c r="A106" s="101"/>
      <c r="B106" s="49" t="str">
        <f>'5) Year 1-5 Staff Assumptions'!B103</f>
        <v>TCRS Classified Hybrid</v>
      </c>
      <c r="C106" s="61"/>
      <c r="D106" s="61"/>
      <c r="E106" s="130">
        <f>'6) Year 1 Budget'!E106</f>
        <v>0</v>
      </c>
      <c r="F106" s="130">
        <v>0</v>
      </c>
      <c r="G106" s="130">
        <v>0</v>
      </c>
      <c r="H106" s="130">
        <v>0</v>
      </c>
      <c r="I106" s="130">
        <v>0</v>
      </c>
      <c r="J106" s="166"/>
      <c r="K106" s="99"/>
    </row>
    <row r="107" spans="1:11" x14ac:dyDescent="0.35">
      <c r="A107" s="105"/>
      <c r="B107" s="49" t="str">
        <f>'5) Year 1-5 Staff Assumptions'!B104</f>
        <v>Other Classified Retirement</v>
      </c>
      <c r="C107" s="61"/>
      <c r="D107" s="61"/>
      <c r="E107" s="130">
        <f>'6) Year 1 Budget'!E107</f>
        <v>0</v>
      </c>
      <c r="F107" s="130">
        <v>0</v>
      </c>
      <c r="G107" s="130">
        <v>0</v>
      </c>
      <c r="H107" s="130">
        <v>0</v>
      </c>
      <c r="I107" s="130">
        <v>0</v>
      </c>
      <c r="J107" s="166"/>
      <c r="K107" s="99"/>
    </row>
    <row r="108" spans="1:11" x14ac:dyDescent="0.35">
      <c r="A108" s="105"/>
      <c r="B108" s="49" t="str">
        <f>'5) Year 1-5 Staff Assumptions'!B105</f>
        <v>Other Retirement</v>
      </c>
      <c r="C108" s="61"/>
      <c r="D108" s="61"/>
      <c r="E108" s="130">
        <f>'6) Year 1 Budget'!E108</f>
        <v>0</v>
      </c>
      <c r="F108" s="130">
        <v>0</v>
      </c>
      <c r="G108" s="130">
        <v>0</v>
      </c>
      <c r="H108" s="130">
        <v>0</v>
      </c>
      <c r="I108" s="130">
        <v>0</v>
      </c>
      <c r="J108" s="166"/>
      <c r="K108" s="99"/>
    </row>
    <row r="109" spans="1:11" x14ac:dyDescent="0.35">
      <c r="B109" s="96"/>
      <c r="C109" s="97"/>
      <c r="D109" s="97"/>
      <c r="E109" s="97"/>
      <c r="F109" s="97"/>
      <c r="G109" s="97"/>
      <c r="H109" s="97"/>
      <c r="I109" s="97"/>
      <c r="J109" s="108"/>
      <c r="K109" s="99"/>
    </row>
    <row r="110" spans="1:11" ht="15" thickBot="1" x14ac:dyDescent="0.4">
      <c r="B110" s="39" t="s">
        <v>122</v>
      </c>
      <c r="C110" s="58"/>
      <c r="D110" s="58"/>
      <c r="E110" s="71">
        <f>SUM(E94:E108)</f>
        <v>178883.4</v>
      </c>
      <c r="F110" s="71">
        <f>SUM(F94:F108)</f>
        <v>265043.1825</v>
      </c>
      <c r="G110" s="71">
        <f>SUM(G94:G108)</f>
        <v>359883.55568749999</v>
      </c>
      <c r="H110" s="71">
        <f>SUM(H94:H108)</f>
        <v>466465.49806093756</v>
      </c>
      <c r="I110" s="71">
        <f>SUM(I94:I108)</f>
        <v>551703.56681906246</v>
      </c>
      <c r="J110" s="72"/>
      <c r="K110" s="99"/>
    </row>
    <row r="111" spans="1:11" ht="15" thickTop="1" x14ac:dyDescent="0.35">
      <c r="B111" s="39"/>
      <c r="C111" s="58"/>
      <c r="D111" s="58"/>
      <c r="E111" s="73"/>
      <c r="F111" s="73"/>
      <c r="G111" s="73"/>
      <c r="H111" s="73"/>
      <c r="I111" s="73"/>
      <c r="J111" s="73"/>
      <c r="K111" s="99"/>
    </row>
    <row r="112" spans="1:11" ht="15" thickBot="1" x14ac:dyDescent="0.4">
      <c r="B112" s="202"/>
      <c r="C112" s="203"/>
      <c r="D112" s="203"/>
      <c r="E112" s="204"/>
      <c r="F112" s="204"/>
      <c r="G112" s="204"/>
      <c r="H112" s="204"/>
      <c r="I112" s="204"/>
      <c r="J112" s="204"/>
      <c r="K112" s="134"/>
    </row>
    <row r="113" spans="1:11" ht="15" customHeight="1" x14ac:dyDescent="0.35">
      <c r="B113" s="333" t="s">
        <v>128</v>
      </c>
      <c r="C113" s="316"/>
      <c r="D113" s="316"/>
      <c r="E113" s="316"/>
      <c r="F113" s="316"/>
      <c r="G113" s="316"/>
      <c r="H113" s="316"/>
      <c r="I113" s="316"/>
      <c r="J113" s="316"/>
      <c r="K113" s="334"/>
    </row>
    <row r="114" spans="1:11" x14ac:dyDescent="0.35">
      <c r="B114" s="39"/>
      <c r="C114" s="58"/>
      <c r="D114" s="58"/>
      <c r="E114" s="58"/>
      <c r="F114" s="58"/>
      <c r="G114" s="58"/>
      <c r="H114" s="58"/>
      <c r="I114" s="58"/>
      <c r="J114" s="58"/>
      <c r="K114" s="99"/>
    </row>
    <row r="115" spans="1:11" x14ac:dyDescent="0.35">
      <c r="B115" s="39"/>
      <c r="C115" s="58"/>
      <c r="D115" s="58"/>
      <c r="E115" s="120" t="s">
        <v>47</v>
      </c>
      <c r="F115" s="120" t="s">
        <v>48</v>
      </c>
      <c r="G115" s="120" t="s">
        <v>49</v>
      </c>
      <c r="H115" s="120" t="s">
        <v>50</v>
      </c>
      <c r="I115" s="120" t="s">
        <v>51</v>
      </c>
      <c r="J115" s="164"/>
      <c r="K115" s="99"/>
    </row>
    <row r="116" spans="1:11" x14ac:dyDescent="0.35">
      <c r="B116" s="39"/>
      <c r="C116" s="58"/>
      <c r="D116" s="58"/>
      <c r="E116" s="121" t="str">
        <f>E11</f>
        <v>2021-22</v>
      </c>
      <c r="F116" s="121" t="str">
        <f>F11</f>
        <v>2022-23</v>
      </c>
      <c r="G116" s="121" t="str">
        <f>G11</f>
        <v>2023-24</v>
      </c>
      <c r="H116" s="121" t="str">
        <f>H11</f>
        <v>2024-25</v>
      </c>
      <c r="I116" s="121" t="str">
        <f>I11</f>
        <v>2026-27</v>
      </c>
      <c r="J116" s="163"/>
      <c r="K116" s="99"/>
    </row>
    <row r="117" spans="1:11" x14ac:dyDescent="0.35">
      <c r="A117" s="101"/>
      <c r="B117" s="49"/>
      <c r="C117" s="58" t="s">
        <v>131</v>
      </c>
      <c r="D117" s="2"/>
      <c r="E117" s="143">
        <v>0</v>
      </c>
      <c r="F117" s="91">
        <v>1.4999999999999999E-2</v>
      </c>
      <c r="G117" s="91">
        <v>1.4999999999999999E-2</v>
      </c>
      <c r="H117" s="91">
        <v>1.4999999999999999E-2</v>
      </c>
      <c r="I117" s="91">
        <v>1.4999999999999999E-2</v>
      </c>
      <c r="J117" s="161"/>
      <c r="K117" s="99"/>
    </row>
    <row r="118" spans="1:11" x14ac:dyDescent="0.35">
      <c r="A118" s="101"/>
      <c r="B118" s="49"/>
      <c r="C118" s="61" t="s">
        <v>94</v>
      </c>
      <c r="D118" s="2"/>
      <c r="E118" s="107">
        <f>100%+E117</f>
        <v>1</v>
      </c>
      <c r="F118" s="107">
        <f>E118*(1+F117)</f>
        <v>1.0149999999999999</v>
      </c>
      <c r="G118" s="107">
        <f>F118*(1+G117)</f>
        <v>1.0302249999999997</v>
      </c>
      <c r="H118" s="107">
        <f>G118*(1+H117)</f>
        <v>1.0456783749999996</v>
      </c>
      <c r="I118" s="107">
        <f>H118*(1+I117)</f>
        <v>1.0613635506249994</v>
      </c>
      <c r="J118" s="107"/>
      <c r="K118" s="99"/>
    </row>
    <row r="119" spans="1:11" x14ac:dyDescent="0.35">
      <c r="B119" s="39"/>
      <c r="C119" s="58"/>
      <c r="D119" s="58"/>
      <c r="E119" s="73"/>
      <c r="F119" s="73"/>
      <c r="G119" s="73"/>
      <c r="H119" s="73"/>
      <c r="I119" s="73"/>
      <c r="J119" s="72"/>
      <c r="K119" s="99"/>
    </row>
    <row r="120" spans="1:11" x14ac:dyDescent="0.35">
      <c r="B120" s="39" t="s">
        <v>123</v>
      </c>
      <c r="C120" s="58"/>
      <c r="D120" s="58"/>
      <c r="E120" s="73"/>
      <c r="F120" s="73"/>
      <c r="G120" s="73"/>
      <c r="H120" s="73"/>
      <c r="I120" s="73"/>
      <c r="J120" s="63" t="s">
        <v>133</v>
      </c>
      <c r="K120" s="99"/>
    </row>
    <row r="121" spans="1:11" x14ac:dyDescent="0.35">
      <c r="B121" s="49" t="str">
        <f>'6) Year 1 Budget'!B121</f>
        <v>Professional Development</v>
      </c>
      <c r="C121" s="87">
        <f>'6) Year 1 Budget'!C121</f>
        <v>15000</v>
      </c>
      <c r="D121" s="97"/>
      <c r="E121" s="115">
        <f>'6) Year 1 Budget'!E121</f>
        <v>45000</v>
      </c>
      <c r="F121" s="87">
        <v>45000</v>
      </c>
      <c r="G121" s="87">
        <v>15000</v>
      </c>
      <c r="H121" s="87">
        <v>15000</v>
      </c>
      <c r="I121" s="87">
        <v>15000</v>
      </c>
      <c r="J121" s="165" t="s">
        <v>502</v>
      </c>
      <c r="K121" s="99"/>
    </row>
    <row r="122" spans="1:11" x14ac:dyDescent="0.35">
      <c r="B122" s="49" t="str">
        <f>'6) Year 1 Budget'!B122</f>
        <v>Financial Services</v>
      </c>
      <c r="C122" s="87">
        <f>'6) Year 1 Budget'!C122</f>
        <v>4600</v>
      </c>
      <c r="D122" s="97"/>
      <c r="E122" s="115">
        <f>'6) Year 1 Budget'!E122</f>
        <v>55200</v>
      </c>
      <c r="F122" s="87">
        <f>$C122*F$118*12</f>
        <v>56028</v>
      </c>
      <c r="G122" s="87">
        <f>$C122*G$118*12</f>
        <v>56868.419999999984</v>
      </c>
      <c r="H122" s="87">
        <f>$C122*H$118*12</f>
        <v>57721.446299999981</v>
      </c>
      <c r="I122" s="87">
        <f>$C122*I$118*12</f>
        <v>58587.267994499969</v>
      </c>
      <c r="J122" s="165" t="s">
        <v>503</v>
      </c>
      <c r="K122" s="99"/>
    </row>
    <row r="123" spans="1:11" x14ac:dyDescent="0.35">
      <c r="B123" s="49" t="str">
        <f>'6) Year 1 Budget'!B123</f>
        <v>Audit Services</v>
      </c>
      <c r="C123" s="87">
        <f>'6) Year 1 Budget'!C123</f>
        <v>10000</v>
      </c>
      <c r="D123" s="97"/>
      <c r="E123" s="115">
        <f>'6) Year 1 Budget'!E123</f>
        <v>10000</v>
      </c>
      <c r="F123" s="87">
        <f t="shared" ref="F123:I124" si="4">E123</f>
        <v>10000</v>
      </c>
      <c r="G123" s="87">
        <f t="shared" si="4"/>
        <v>10000</v>
      </c>
      <c r="H123" s="87">
        <f t="shared" si="4"/>
        <v>10000</v>
      </c>
      <c r="I123" s="87">
        <f t="shared" si="4"/>
        <v>10000</v>
      </c>
      <c r="J123" s="165" t="s">
        <v>337</v>
      </c>
      <c r="K123" s="99"/>
    </row>
    <row r="124" spans="1:11" x14ac:dyDescent="0.35">
      <c r="B124" s="49" t="str">
        <f>'6) Year 1 Budget'!B124</f>
        <v>Legal Fees</v>
      </c>
      <c r="C124" s="87">
        <f>'6) Year 1 Budget'!C124</f>
        <v>2500</v>
      </c>
      <c r="D124" s="97"/>
      <c r="E124" s="115">
        <f>'6) Year 1 Budget'!E124</f>
        <v>2500</v>
      </c>
      <c r="F124" s="87">
        <f t="shared" si="4"/>
        <v>2500</v>
      </c>
      <c r="G124" s="87">
        <f t="shared" si="4"/>
        <v>2500</v>
      </c>
      <c r="H124" s="87">
        <f t="shared" si="4"/>
        <v>2500</v>
      </c>
      <c r="I124" s="87">
        <f t="shared" si="4"/>
        <v>2500</v>
      </c>
      <c r="J124" s="165" t="s">
        <v>338</v>
      </c>
      <c r="K124" s="99"/>
    </row>
    <row r="125" spans="1:11" x14ac:dyDescent="0.35">
      <c r="B125" s="49" t="str">
        <f>'6) Year 1 Budget'!B125</f>
        <v>Copier Lease and Usage</v>
      </c>
      <c r="C125" s="87">
        <f>'6) Year 1 Budget'!C125</f>
        <v>1400</v>
      </c>
      <c r="D125" s="97"/>
      <c r="E125" s="115">
        <f>'6) Year 1 Budget'!E125</f>
        <v>16800</v>
      </c>
      <c r="F125" s="87">
        <f>$C125*F$118*10</f>
        <v>14209.999999999998</v>
      </c>
      <c r="G125" s="87">
        <f>$C125*G$118*10</f>
        <v>14423.149999999996</v>
      </c>
      <c r="H125" s="87">
        <f>$C125*H$118*10</f>
        <v>14639.497249999995</v>
      </c>
      <c r="I125" s="87">
        <f>$C125*I$118*10</f>
        <v>14859.089708749991</v>
      </c>
      <c r="J125" s="165" t="s">
        <v>504</v>
      </c>
      <c r="K125" s="99"/>
    </row>
    <row r="126" spans="1:11" x14ac:dyDescent="0.35">
      <c r="B126" s="49" t="str">
        <f>'6) Year 1 Budget'!B126</f>
        <v>Internet and Phone Service</v>
      </c>
      <c r="C126" s="87">
        <f>'6) Year 1 Budget'!C126</f>
        <v>200</v>
      </c>
      <c r="D126" s="97"/>
      <c r="E126" s="115">
        <f>'6) Year 1 Budget'!E126</f>
        <v>2400</v>
      </c>
      <c r="F126" s="87">
        <f t="shared" ref="F126:I128" si="5">$C126*F$118*12</f>
        <v>2435.9999999999995</v>
      </c>
      <c r="G126" s="87">
        <f t="shared" si="5"/>
        <v>2472.5399999999995</v>
      </c>
      <c r="H126" s="87">
        <f t="shared" si="5"/>
        <v>2509.628099999999</v>
      </c>
      <c r="I126" s="87">
        <f t="shared" si="5"/>
        <v>2547.2725214999987</v>
      </c>
      <c r="J126" s="165" t="s">
        <v>505</v>
      </c>
      <c r="K126" s="99"/>
    </row>
    <row r="127" spans="1:11" x14ac:dyDescent="0.35">
      <c r="B127" s="49" t="str">
        <f>'6) Year 1 Budget'!B127</f>
        <v>Cell Phone Service</v>
      </c>
      <c r="C127" s="87">
        <f>'6) Year 1 Budget'!C127</f>
        <v>50</v>
      </c>
      <c r="D127" s="97"/>
      <c r="E127" s="115">
        <f>'6) Year 1 Budget'!E127</f>
        <v>600</v>
      </c>
      <c r="F127" s="87">
        <f t="shared" si="5"/>
        <v>608.99999999999989</v>
      </c>
      <c r="G127" s="87">
        <f t="shared" si="5"/>
        <v>618.13499999999988</v>
      </c>
      <c r="H127" s="87">
        <f t="shared" si="5"/>
        <v>627.40702499999975</v>
      </c>
      <c r="I127" s="87">
        <f t="shared" si="5"/>
        <v>636.81813037499967</v>
      </c>
      <c r="J127" s="165" t="s">
        <v>506</v>
      </c>
      <c r="K127" s="99"/>
    </row>
    <row r="128" spans="1:11" x14ac:dyDescent="0.35">
      <c r="B128" s="49" t="str">
        <f>'6) Year 1 Budget'!B128</f>
        <v>Payroll Services</v>
      </c>
      <c r="C128" s="87">
        <f>'6) Year 1 Budget'!C128</f>
        <v>300</v>
      </c>
      <c r="D128" s="97"/>
      <c r="E128" s="115">
        <f>'6) Year 1 Budget'!E128</f>
        <v>3600</v>
      </c>
      <c r="F128" s="87">
        <f t="shared" si="5"/>
        <v>3653.9999999999991</v>
      </c>
      <c r="G128" s="87">
        <f t="shared" si="5"/>
        <v>3708.8099999999995</v>
      </c>
      <c r="H128" s="87">
        <f t="shared" si="5"/>
        <v>3764.4421499999985</v>
      </c>
      <c r="I128" s="87">
        <f t="shared" si="5"/>
        <v>3820.9087822499978</v>
      </c>
      <c r="J128" s="165" t="s">
        <v>507</v>
      </c>
      <c r="K128" s="99"/>
    </row>
    <row r="129" spans="2:11" x14ac:dyDescent="0.35">
      <c r="B129" s="49" t="str">
        <f>'6) Year 1 Budget'!B129</f>
        <v>Health Services</v>
      </c>
      <c r="C129" s="87">
        <f>'6) Year 1 Budget'!C129</f>
        <v>15</v>
      </c>
      <c r="D129" s="97"/>
      <c r="E129" s="115">
        <f>'6) Year 1 Budget'!E129</f>
        <v>1800</v>
      </c>
      <c r="F129" s="87">
        <f>$C129*F$118*'2) Student Assumptions'!F29</f>
        <v>2740.4999999999995</v>
      </c>
      <c r="G129" s="87">
        <f>$C129*G$118*'2) Student Assumptions'!G29</f>
        <v>3708.809999999999</v>
      </c>
      <c r="H129" s="87">
        <f>$C129*H$118*'2) Student Assumptions'!H29</f>
        <v>4705.5526874999978</v>
      </c>
      <c r="I129" s="87">
        <f>$C129*I$118*'2) Student Assumptions'!I29</f>
        <v>5731.3631733749971</v>
      </c>
      <c r="J129" s="165" t="s">
        <v>508</v>
      </c>
      <c r="K129" s="99"/>
    </row>
    <row r="130" spans="2:11" x14ac:dyDescent="0.35">
      <c r="B130" s="49" t="str">
        <f>'6) Year 1 Budget'!B130</f>
        <v>Transportation</v>
      </c>
      <c r="C130" s="87">
        <f>'6) Year 1 Budget'!C130</f>
        <v>45000</v>
      </c>
      <c r="D130" s="97"/>
      <c r="E130" s="115">
        <f>'6) Year 1 Budget'!E130</f>
        <v>45000</v>
      </c>
      <c r="F130" s="87">
        <f>C130</f>
        <v>45000</v>
      </c>
      <c r="G130" s="87">
        <f>C130</f>
        <v>45000</v>
      </c>
      <c r="H130" s="87">
        <f>C130*2</f>
        <v>90000</v>
      </c>
      <c r="I130" s="87">
        <f>C130*2</f>
        <v>90000</v>
      </c>
      <c r="J130" s="165" t="s">
        <v>509</v>
      </c>
      <c r="K130" s="99"/>
    </row>
    <row r="131" spans="2:11" x14ac:dyDescent="0.35">
      <c r="B131" s="49" t="str">
        <f>'6) Year 1 Budget'!B131</f>
        <v>IT Services</v>
      </c>
      <c r="C131" s="87">
        <f>'6) Year 1 Budget'!C131</f>
        <v>9600</v>
      </c>
      <c r="D131" s="97"/>
      <c r="E131" s="115">
        <f>'6) Year 1 Budget'!E131</f>
        <v>9600</v>
      </c>
      <c r="F131" s="87">
        <f t="shared" ref="F131:I131" si="6">E131*(1+F$117)</f>
        <v>9743.9999999999982</v>
      </c>
      <c r="G131" s="87">
        <f t="shared" si="6"/>
        <v>9890.159999999998</v>
      </c>
      <c r="H131" s="87">
        <f t="shared" si="6"/>
        <v>10038.512399999998</v>
      </c>
      <c r="I131" s="87">
        <f t="shared" si="6"/>
        <v>10189.090085999997</v>
      </c>
      <c r="J131" s="165" t="s">
        <v>510</v>
      </c>
      <c r="K131" s="99"/>
    </row>
    <row r="132" spans="2:11" x14ac:dyDescent="0.35">
      <c r="B132" s="49" t="str">
        <f>'6) Year 1 Budget'!B132</f>
        <v>Contracted SPED Services</v>
      </c>
      <c r="C132" s="87">
        <f>'6) Year 1 Budget'!C132</f>
        <v>1000</v>
      </c>
      <c r="D132" s="97"/>
      <c r="E132" s="115">
        <f>'6) Year 1 Budget'!E132</f>
        <v>16000</v>
      </c>
      <c r="F132" s="87">
        <f>$C132*F$118*'2) Student Assumptions'!F63</f>
        <v>23344.999999999996</v>
      </c>
      <c r="G132" s="87">
        <f>$C132*G$118*'2) Student Assumptions'!G63</f>
        <v>31936.974999999991</v>
      </c>
      <c r="H132" s="87">
        <f>$C132*H$118*'2) Student Assumptions'!H63</f>
        <v>40781.456624999977</v>
      </c>
      <c r="I132" s="87">
        <f>$C132*I$118*'2) Student Assumptions'!I63</f>
        <v>49884.086879374969</v>
      </c>
      <c r="J132" s="165" t="s">
        <v>339</v>
      </c>
      <c r="K132" s="99"/>
    </row>
    <row r="133" spans="2:11" x14ac:dyDescent="0.35">
      <c r="B133" s="49" t="str">
        <f>'6) Year 1 Budget'!B133</f>
        <v>Insurance</v>
      </c>
      <c r="C133" s="87">
        <f>'6) Year 1 Budget'!C133</f>
        <v>125</v>
      </c>
      <c r="D133" s="97"/>
      <c r="E133" s="115">
        <f>'6) Year 1 Budget'!E133</f>
        <v>15000</v>
      </c>
      <c r="F133" s="87">
        <f>$C133*F$118*'2) Student Assumptions'!F29</f>
        <v>22837.499999999996</v>
      </c>
      <c r="G133" s="87">
        <f>$C133*G$118*'2) Student Assumptions'!G29</f>
        <v>30906.749999999989</v>
      </c>
      <c r="H133" s="87">
        <f>$C133*H$118*'2) Student Assumptions'!H29</f>
        <v>39212.93906249998</v>
      </c>
      <c r="I133" s="87">
        <f>$C133*I$118*'2) Student Assumptions'!I29</f>
        <v>47761.35977812497</v>
      </c>
      <c r="J133" s="165" t="s">
        <v>511</v>
      </c>
      <c r="K133" s="99"/>
    </row>
    <row r="134" spans="2:11" x14ac:dyDescent="0.35">
      <c r="B134" s="49" t="str">
        <f>'6) Year 1 Budget'!B134</f>
        <v>Postal Charges</v>
      </c>
      <c r="C134" s="87">
        <f>'6) Year 1 Budget'!C134</f>
        <v>2</v>
      </c>
      <c r="D134" s="97"/>
      <c r="E134" s="115">
        <f>'6) Year 1 Budget'!E134</f>
        <v>240</v>
      </c>
      <c r="F134" s="87">
        <f>$C134*'2) Student Assumptions'!F29</f>
        <v>360</v>
      </c>
      <c r="G134" s="87">
        <f>$C134*'2) Student Assumptions'!G29</f>
        <v>480</v>
      </c>
      <c r="H134" s="87">
        <f>$C134*'2) Student Assumptions'!H29</f>
        <v>600</v>
      </c>
      <c r="I134" s="87">
        <f>$C134*'2) Student Assumptions'!I29</f>
        <v>720</v>
      </c>
      <c r="J134" s="165" t="s">
        <v>341</v>
      </c>
      <c r="K134" s="99"/>
    </row>
    <row r="135" spans="2:11" x14ac:dyDescent="0.35">
      <c r="B135" s="49" t="str">
        <f>'6) Year 1 Budget'!B135</f>
        <v>Bank Charges</v>
      </c>
      <c r="C135" s="87">
        <f>'6) Year 1 Budget'!C135</f>
        <v>20</v>
      </c>
      <c r="D135" s="97"/>
      <c r="E135" s="115">
        <f>'6) Year 1 Budget'!E135</f>
        <v>240</v>
      </c>
      <c r="F135" s="87">
        <f>$C135*12</f>
        <v>240</v>
      </c>
      <c r="G135" s="87">
        <f>$C135*12</f>
        <v>240</v>
      </c>
      <c r="H135" s="87">
        <f>$C135*12</f>
        <v>240</v>
      </c>
      <c r="I135" s="87">
        <f>$C135*12</f>
        <v>240</v>
      </c>
      <c r="J135" s="165" t="s">
        <v>342</v>
      </c>
      <c r="K135" s="99"/>
    </row>
    <row r="136" spans="2:11" x14ac:dyDescent="0.35">
      <c r="B136" s="39"/>
      <c r="C136" s="58"/>
      <c r="D136" s="58"/>
      <c r="E136" s="72"/>
      <c r="F136" s="73"/>
      <c r="G136" s="73"/>
      <c r="H136" s="73"/>
      <c r="I136" s="73"/>
      <c r="J136" s="72"/>
      <c r="K136" s="99"/>
    </row>
    <row r="137" spans="2:11" x14ac:dyDescent="0.35">
      <c r="B137" s="39" t="s">
        <v>124</v>
      </c>
      <c r="C137" s="58"/>
      <c r="D137" s="58"/>
      <c r="E137" s="72"/>
      <c r="F137" s="73"/>
      <c r="G137" s="73"/>
      <c r="H137" s="73"/>
      <c r="I137" s="73"/>
      <c r="J137" s="72"/>
      <c r="K137" s="99"/>
    </row>
    <row r="138" spans="2:11" x14ac:dyDescent="0.35">
      <c r="B138" s="49" t="str">
        <f>'6) Year 1 Budget'!B138</f>
        <v>Textbooks and Instructional Supplies</v>
      </c>
      <c r="C138" s="87">
        <f>'6) Year 1 Budget'!C138</f>
        <v>100</v>
      </c>
      <c r="D138" s="97"/>
      <c r="E138" s="115">
        <f>'6) Year 1 Budget'!E138</f>
        <v>12000</v>
      </c>
      <c r="F138" s="87">
        <f>$C$138*F$118*'2) Student Assumptions'!F$29</f>
        <v>18269.999999999996</v>
      </c>
      <c r="G138" s="87">
        <f>$C$138*G$118*'2) Student Assumptions'!G$29</f>
        <v>24725.399999999994</v>
      </c>
      <c r="H138" s="87">
        <f>$C$138*H$118*'2) Student Assumptions'!H$29</f>
        <v>31370.351249999989</v>
      </c>
      <c r="I138" s="87">
        <f>$C$138*I$118*'2) Student Assumptions'!I$29</f>
        <v>38209.087822499983</v>
      </c>
      <c r="J138" s="165" t="s">
        <v>512</v>
      </c>
      <c r="K138" s="99"/>
    </row>
    <row r="139" spans="2:11" x14ac:dyDescent="0.35">
      <c r="B139" s="49" t="str">
        <f>'6) Year 1 Budget'!B139</f>
        <v>Education Software</v>
      </c>
      <c r="C139" s="87">
        <f>'6) Year 1 Budget'!C139</f>
        <v>100</v>
      </c>
      <c r="D139" s="97"/>
      <c r="E139" s="115">
        <f>'6) Year 1 Budget'!E139</f>
        <v>12000</v>
      </c>
      <c r="F139" s="87">
        <f>$C$139*F$118*'2) Student Assumptions'!F$29</f>
        <v>18269.999999999996</v>
      </c>
      <c r="G139" s="87">
        <f>$C$139*G$118*'2) Student Assumptions'!G$29</f>
        <v>24725.399999999994</v>
      </c>
      <c r="H139" s="87">
        <f>$C$139*H$118*'2) Student Assumptions'!H$29</f>
        <v>31370.351249999989</v>
      </c>
      <c r="I139" s="87">
        <f>$C$139*I$118*'2) Student Assumptions'!I$29</f>
        <v>38209.087822499983</v>
      </c>
      <c r="J139" s="165" t="s">
        <v>512</v>
      </c>
      <c r="K139" s="99"/>
    </row>
    <row r="140" spans="2:11" x14ac:dyDescent="0.35">
      <c r="B140" s="49" t="str">
        <f>'6) Year 1 Budget'!B140</f>
        <v>Student Supplies</v>
      </c>
      <c r="C140" s="87">
        <f>'6) Year 1 Budget'!C140</f>
        <v>50</v>
      </c>
      <c r="D140" s="97"/>
      <c r="E140" s="115">
        <f>'6) Year 1 Budget'!E140</f>
        <v>6000</v>
      </c>
      <c r="F140" s="87">
        <f>$C$140*F$118*'2) Student Assumptions'!F$29</f>
        <v>9134.9999999999982</v>
      </c>
      <c r="G140" s="87">
        <f>$C$140*G$118*'2) Student Assumptions'!G$29</f>
        <v>12362.699999999997</v>
      </c>
      <c r="H140" s="87">
        <f>$C$140*H$118*'2) Student Assumptions'!H$29</f>
        <v>15685.175624999994</v>
      </c>
      <c r="I140" s="87">
        <f>$C$140*I$118*'2) Student Assumptions'!I$29</f>
        <v>19104.543911249992</v>
      </c>
      <c r="J140" s="165" t="s">
        <v>513</v>
      </c>
      <c r="K140" s="99"/>
    </row>
    <row r="141" spans="2:11" x14ac:dyDescent="0.35">
      <c r="B141" s="49" t="str">
        <f>'6) Year 1 Budget'!B141</f>
        <v>Faculty Supplies</v>
      </c>
      <c r="C141" s="87">
        <f>'6) Year 1 Budget'!C141</f>
        <v>50</v>
      </c>
      <c r="D141" s="97"/>
      <c r="E141" s="115">
        <f>'6) Year 1 Budget'!E141</f>
        <v>6000</v>
      </c>
      <c r="F141" s="87">
        <f>$C$141*'5) Year 1-5 Staff Assumptions'!F40*10*'8) Year 2 through 5 Budget'!F$118</f>
        <v>9135</v>
      </c>
      <c r="G141" s="87">
        <f>$C$141*'5) Year 1-5 Staff Assumptions'!G40*10*'8) Year 2 through 5 Budget'!G$118</f>
        <v>12362.699999999997</v>
      </c>
      <c r="H141" s="87">
        <f>$C$141*'5) Year 1-5 Staff Assumptions'!H40*10*'8) Year 2 through 5 Budget'!H$118</f>
        <v>16208.014812499994</v>
      </c>
      <c r="I141" s="87">
        <f>$C$141*'5) Year 1-5 Staff Assumptions'!I40*10*'8) Year 2 through 5 Budget'!I$118</f>
        <v>19104.543911249988</v>
      </c>
      <c r="J141" s="165" t="s">
        <v>514</v>
      </c>
      <c r="K141" s="99"/>
    </row>
    <row r="142" spans="2:11" x14ac:dyDescent="0.35">
      <c r="B142" s="49" t="str">
        <f>'6) Year 1 Budget'!B142</f>
        <v>Library Books</v>
      </c>
      <c r="C142" s="87">
        <f>'6) Year 1 Budget'!C142</f>
        <v>50</v>
      </c>
      <c r="D142" s="97"/>
      <c r="E142" s="115">
        <f>'6) Year 1 Budget'!E142</f>
        <v>6000</v>
      </c>
      <c r="F142" s="87">
        <f>$C$140*F$118*'2) Student Assumptions'!F$29</f>
        <v>9134.9999999999982</v>
      </c>
      <c r="G142" s="87">
        <f>$C$140*G$118*'2) Student Assumptions'!G$29</f>
        <v>12362.699999999997</v>
      </c>
      <c r="H142" s="87">
        <f>$C$140*H$118*'2) Student Assumptions'!H$29</f>
        <v>15685.175624999994</v>
      </c>
      <c r="I142" s="87">
        <f>$C$140*I$118*'2) Student Assumptions'!I$29</f>
        <v>19104.543911249992</v>
      </c>
      <c r="J142" s="165" t="s">
        <v>513</v>
      </c>
      <c r="K142" s="99"/>
    </row>
    <row r="143" spans="2:11" x14ac:dyDescent="0.35">
      <c r="B143" s="49" t="str">
        <f>'6) Year 1 Budget'!B143</f>
        <v>Testing &amp; Evaluation</v>
      </c>
      <c r="C143" s="87">
        <f>'6) Year 1 Budget'!C143</f>
        <v>40</v>
      </c>
      <c r="D143" s="97"/>
      <c r="E143" s="115">
        <f>'6) Year 1 Budget'!E143</f>
        <v>4800</v>
      </c>
      <c r="F143" s="87">
        <f>$C$140*F$118*'2) Student Assumptions'!F$29</f>
        <v>9134.9999999999982</v>
      </c>
      <c r="G143" s="87">
        <f>$C$140*G$118*'2) Student Assumptions'!G$29</f>
        <v>12362.699999999997</v>
      </c>
      <c r="H143" s="87">
        <f>$C$140*H$118*'2) Student Assumptions'!H$29</f>
        <v>15685.175624999994</v>
      </c>
      <c r="I143" s="87">
        <f>$C$140*I$118*'2) Student Assumptions'!I$29</f>
        <v>19104.543911249992</v>
      </c>
      <c r="J143" s="165" t="s">
        <v>515</v>
      </c>
      <c r="K143" s="99"/>
    </row>
    <row r="144" spans="2:11" x14ac:dyDescent="0.35">
      <c r="B144" s="49" t="str">
        <f>'6) Year 1 Budget'!B144</f>
        <v>Student Laptops</v>
      </c>
      <c r="C144" s="87">
        <f>'6) Year 1 Budget'!C144</f>
        <v>250</v>
      </c>
      <c r="D144" s="97"/>
      <c r="E144" s="115">
        <f>'6) Year 1 Budget'!E144</f>
        <v>10000</v>
      </c>
      <c r="F144" s="87">
        <f>$C$144*F$118*'2) Student Assumptions'!F$31/3</f>
        <v>5074.9999999999991</v>
      </c>
      <c r="G144" s="87">
        <f>$C$144*G$118*'2) Student Assumptions'!G$31/3</f>
        <v>5151.1249999999982</v>
      </c>
      <c r="H144" s="87">
        <f>$C$144*H$118*'2) Student Assumptions'!H$31/3</f>
        <v>5228.3918749999975</v>
      </c>
      <c r="I144" s="87">
        <f>$C$144*I$118*'2) Student Assumptions'!I$31/3</f>
        <v>5306.8177531249967</v>
      </c>
      <c r="J144" s="244" t="s">
        <v>516</v>
      </c>
      <c r="K144" s="99"/>
    </row>
    <row r="145" spans="2:11" x14ac:dyDescent="0.35">
      <c r="B145" s="49" t="str">
        <f>'6) Year 1 Budget'!B145</f>
        <v>Faculty Laptops</v>
      </c>
      <c r="C145" s="87">
        <f>'6) Year 1 Budget'!C145</f>
        <v>900</v>
      </c>
      <c r="D145" s="97"/>
      <c r="E145" s="115">
        <f>'6) Year 1 Budget'!E145</f>
        <v>9000</v>
      </c>
      <c r="F145" s="87">
        <f>$C145*F$118*('5) Year 1-5 Staff Assumptions'!F$40-'5) Year 1-5 Staff Assumptions'!E$40)</f>
        <v>5480.9999999999991</v>
      </c>
      <c r="G145" s="87">
        <f>$C145*G$118*('5) Year 1-5 Staff Assumptions'!G$40-'5) Year 1-5 Staff Assumptions'!F$40)</f>
        <v>5563.2149999999983</v>
      </c>
      <c r="H145" s="87">
        <f>$C145*H$118*('5) Year 1-5 Staff Assumptions'!H$40-'5) Year 1-5 Staff Assumptions'!G$40)</f>
        <v>6587.7737624999972</v>
      </c>
      <c r="I145" s="87">
        <f>$C145*I$118*('5) Year 1-5 Staff Assumptions'!I$40-'5) Year 1-5 Staff Assumptions'!H$40)</f>
        <v>4776.135977812497</v>
      </c>
      <c r="J145" s="165" t="s">
        <v>517</v>
      </c>
      <c r="K145" s="99"/>
    </row>
    <row r="146" spans="2:11" x14ac:dyDescent="0.35">
      <c r="B146" s="49" t="str">
        <f>'6) Year 1 Budget'!B146</f>
        <v>Office Supplies</v>
      </c>
      <c r="C146" s="87">
        <f>'6) Year 1 Budget'!C146</f>
        <v>350</v>
      </c>
      <c r="D146" s="97"/>
      <c r="E146" s="115">
        <f>'6) Year 1 Budget'!E146</f>
        <v>4200</v>
      </c>
      <c r="F146" s="87">
        <f>$C146*F$118*10</f>
        <v>3552.4999999999995</v>
      </c>
      <c r="G146" s="87">
        <f>$C146*G$118*10</f>
        <v>3605.787499999999</v>
      </c>
      <c r="H146" s="87">
        <f>$C146*H$118*10</f>
        <v>3659.8743124999987</v>
      </c>
      <c r="I146" s="87">
        <f>$C146*I$118*10</f>
        <v>3714.7724271874977</v>
      </c>
      <c r="J146" s="165" t="s">
        <v>518</v>
      </c>
      <c r="K146" s="99"/>
    </row>
    <row r="147" spans="2:11" x14ac:dyDescent="0.35">
      <c r="B147" s="49" t="str">
        <f>'6) Year 1 Budget'!B147</f>
        <v>Printing Paper</v>
      </c>
      <c r="C147" s="87">
        <f>'6) Year 1 Budget'!C147</f>
        <v>40</v>
      </c>
      <c r="D147" s="97"/>
      <c r="E147" s="115">
        <f>'6) Year 1 Budget'!E147</f>
        <v>4800</v>
      </c>
      <c r="F147" s="87">
        <f>$C147*F$118*'2) Student Assumptions'!F$29</f>
        <v>7307.9999999999991</v>
      </c>
      <c r="G147" s="87">
        <f>$C147*G$118*'2) Student Assumptions'!G$29</f>
        <v>9890.159999999998</v>
      </c>
      <c r="H147" s="87">
        <f>$C147*H$118*'2) Student Assumptions'!H$29</f>
        <v>12548.140499999996</v>
      </c>
      <c r="I147" s="87">
        <f>$C147*I$118*'2) Student Assumptions'!I$29</f>
        <v>15283.635128999993</v>
      </c>
      <c r="J147" s="165" t="s">
        <v>515</v>
      </c>
      <c r="K147" s="99"/>
    </row>
    <row r="148" spans="2:11" x14ac:dyDescent="0.35">
      <c r="B148" s="49" t="str">
        <f>'6) Year 1 Budget'!B148</f>
        <v>Marketing Materials</v>
      </c>
      <c r="C148" s="87">
        <f>'6) Year 1 Budget'!C148</f>
        <v>1000</v>
      </c>
      <c r="D148" s="97"/>
      <c r="E148" s="115">
        <f>'6) Year 1 Budget'!E148</f>
        <v>1000</v>
      </c>
      <c r="F148" s="87">
        <v>1000</v>
      </c>
      <c r="G148" s="87">
        <v>1000</v>
      </c>
      <c r="H148" s="87">
        <v>1000</v>
      </c>
      <c r="I148" s="87">
        <v>1000</v>
      </c>
      <c r="J148" s="165" t="s">
        <v>343</v>
      </c>
      <c r="K148" s="99"/>
    </row>
    <row r="149" spans="2:11" x14ac:dyDescent="0.35">
      <c r="B149" s="49" t="str">
        <f>'6) Year 1 Budget'!B149</f>
        <v>Student Uniforms</v>
      </c>
      <c r="C149" s="87">
        <f>'6) Year 1 Budget'!C149</f>
        <v>30</v>
      </c>
      <c r="D149" s="97"/>
      <c r="E149" s="115">
        <f>'6) Year 1 Budget'!E149</f>
        <v>3600</v>
      </c>
      <c r="F149" s="87">
        <f>$C149*F$118*'2) Student Assumptions'!F$29</f>
        <v>5480.9999999999991</v>
      </c>
      <c r="G149" s="87">
        <f>$C149*G$118*'2) Student Assumptions'!G$29</f>
        <v>7417.6199999999981</v>
      </c>
      <c r="H149" s="87">
        <f>$C149*H$118*'2) Student Assumptions'!H$29</f>
        <v>9411.1053749999955</v>
      </c>
      <c r="I149" s="87">
        <f>$C149*I$118*'2) Student Assumptions'!I$29</f>
        <v>11462.726346749994</v>
      </c>
      <c r="J149" s="165" t="s">
        <v>519</v>
      </c>
      <c r="K149" s="99"/>
    </row>
    <row r="150" spans="2:11" x14ac:dyDescent="0.35">
      <c r="B150" s="49" t="str">
        <f>'6) Year 1 Budget'!B150</f>
        <v>Gifts &amp; Awards - Students</v>
      </c>
      <c r="C150" s="87">
        <f>'6) Year 1 Budget'!C150</f>
        <v>30</v>
      </c>
      <c r="D150" s="97"/>
      <c r="E150" s="115">
        <f>'6) Year 1 Budget'!E150</f>
        <v>3600</v>
      </c>
      <c r="F150" s="87">
        <f>$C150*F$118*'2) Student Assumptions'!F$29</f>
        <v>5480.9999999999991</v>
      </c>
      <c r="G150" s="87">
        <f>$C150*G$118*'2) Student Assumptions'!G$29</f>
        <v>7417.6199999999981</v>
      </c>
      <c r="H150" s="87">
        <f>$C150*H$118*'2) Student Assumptions'!H$29</f>
        <v>9411.1053749999955</v>
      </c>
      <c r="I150" s="87">
        <f>$C150*I$118*'2) Student Assumptions'!I$29</f>
        <v>11462.726346749994</v>
      </c>
      <c r="J150" s="165" t="s">
        <v>519</v>
      </c>
      <c r="K150" s="99"/>
    </row>
    <row r="151" spans="2:11" x14ac:dyDescent="0.35">
      <c r="B151" s="49" t="str">
        <f>'6) Year 1 Budget'!B151</f>
        <v>Gifts &amp; Awards - Teachers and Staff</v>
      </c>
      <c r="C151" s="87">
        <f>'6) Year 1 Budget'!C151</f>
        <v>75</v>
      </c>
      <c r="D151" s="97"/>
      <c r="E151" s="115">
        <f>'6) Year 1 Budget'!E151</f>
        <v>825</v>
      </c>
      <c r="F151" s="87">
        <f>$C151*F$118*'5) Year 1-5 Staff Assumptions'!F$40</f>
        <v>1370.2499999999998</v>
      </c>
      <c r="G151" s="87">
        <f>$C151*G$118*'5) Year 1-5 Staff Assumptions'!G$40</f>
        <v>1854.4049999999997</v>
      </c>
      <c r="H151" s="87">
        <f>$C151*H$118*'5) Year 1-5 Staff Assumptions'!H$40</f>
        <v>2431.2022218749989</v>
      </c>
      <c r="I151" s="87">
        <f>$C151*I$118*'5) Year 1-5 Staff Assumptions'!I$40</f>
        <v>2865.6815866874986</v>
      </c>
      <c r="J151" s="165" t="s">
        <v>344</v>
      </c>
      <c r="K151" s="99"/>
    </row>
    <row r="152" spans="2:11" x14ac:dyDescent="0.35">
      <c r="B152" s="49" t="str">
        <f>'6) Year 1 Budget'!B152</f>
        <v>Health Supplies</v>
      </c>
      <c r="C152" s="87">
        <f>'6) Year 1 Budget'!C152</f>
        <v>1500</v>
      </c>
      <c r="D152" s="97"/>
      <c r="E152" s="115">
        <f>'6) Year 1 Budget'!E152</f>
        <v>1500</v>
      </c>
      <c r="F152" s="87">
        <v>0</v>
      </c>
      <c r="G152" s="87">
        <v>0</v>
      </c>
      <c r="H152" s="87">
        <v>0</v>
      </c>
      <c r="I152" s="87">
        <v>0</v>
      </c>
      <c r="J152" s="165"/>
      <c r="K152" s="99"/>
    </row>
    <row r="153" spans="2:11" ht="15" thickBot="1" x14ac:dyDescent="0.4">
      <c r="B153" s="202"/>
      <c r="C153" s="203"/>
      <c r="D153" s="203"/>
      <c r="E153" s="205"/>
      <c r="F153" s="204"/>
      <c r="G153" s="204"/>
      <c r="H153" s="204"/>
      <c r="I153" s="204"/>
      <c r="J153" s="205"/>
      <c r="K153" s="134"/>
    </row>
    <row r="154" spans="2:11" x14ac:dyDescent="0.35">
      <c r="B154" s="39" t="s">
        <v>127</v>
      </c>
      <c r="C154" s="58"/>
      <c r="D154" s="58"/>
      <c r="E154" s="72"/>
      <c r="F154" s="73"/>
      <c r="G154" s="73"/>
      <c r="H154" s="73"/>
      <c r="I154" s="73"/>
      <c r="J154" s="72"/>
      <c r="K154" s="99"/>
    </row>
    <row r="155" spans="2:11" x14ac:dyDescent="0.35">
      <c r="B155" s="49" t="str">
        <f>'6) Year 1 Budget'!B155</f>
        <v>Rent</v>
      </c>
      <c r="C155" s="87">
        <f>'6) Year 1 Budget'!C155</f>
        <v>5</v>
      </c>
      <c r="D155" s="97"/>
      <c r="E155" s="115">
        <f>'6) Year 1 Budget'!E155</f>
        <v>48000</v>
      </c>
      <c r="F155" s="87">
        <f>$C155*'2) Student Assumptions'!F$29*80</f>
        <v>72000</v>
      </c>
      <c r="G155" s="87">
        <f>$C155*'2) Student Assumptions'!G29*80</f>
        <v>96000</v>
      </c>
      <c r="H155" s="87">
        <f>$C155*'2) Student Assumptions'!H29*80</f>
        <v>120000</v>
      </c>
      <c r="I155" s="87">
        <f>$C155*'2) Student Assumptions'!I29*80</f>
        <v>144000</v>
      </c>
      <c r="J155" s="165" t="s">
        <v>364</v>
      </c>
      <c r="K155" s="99"/>
    </row>
    <row r="156" spans="2:11" x14ac:dyDescent="0.35">
      <c r="B156" s="49" t="str">
        <f>'6) Year 1 Budget'!B156</f>
        <v>Utilities</v>
      </c>
      <c r="C156" s="87">
        <f>'6) Year 1 Budget'!C156</f>
        <v>2</v>
      </c>
      <c r="D156" s="97"/>
      <c r="E156" s="115">
        <f>'6) Year 1 Budget'!E156</f>
        <v>19200</v>
      </c>
      <c r="F156" s="87">
        <f>$C156*'2) Student Assumptions'!F$29*80</f>
        <v>28800</v>
      </c>
      <c r="G156" s="87">
        <f>$C156*'2) Student Assumptions'!G$29*80</f>
        <v>38400</v>
      </c>
      <c r="H156" s="87">
        <f>$C156*'2) Student Assumptions'!H$29*80</f>
        <v>48000</v>
      </c>
      <c r="I156" s="87">
        <f>$C156*'2) Student Assumptions'!I$29*80</f>
        <v>57600</v>
      </c>
      <c r="J156" s="165" t="s">
        <v>365</v>
      </c>
      <c r="K156" s="99"/>
    </row>
    <row r="157" spans="2:11" x14ac:dyDescent="0.35">
      <c r="B157" s="49" t="str">
        <f>'6) Year 1 Budget'!B157</f>
        <v xml:space="preserve">Custodial </v>
      </c>
      <c r="C157" s="87">
        <v>1</v>
      </c>
      <c r="D157" s="97"/>
      <c r="E157" s="115">
        <f>'6) Year 1 Budget'!E157</f>
        <v>19200</v>
      </c>
      <c r="F157" s="87">
        <f>$C157*'2) Student Assumptions'!F$29*80</f>
        <v>14400</v>
      </c>
      <c r="G157" s="87">
        <f>$C157*'2) Student Assumptions'!G$29*80</f>
        <v>19200</v>
      </c>
      <c r="H157" s="87">
        <f>$C157*'2) Student Assumptions'!H$29*80</f>
        <v>24000</v>
      </c>
      <c r="I157" s="87">
        <f>$C157*'2) Student Assumptions'!I$29*80</f>
        <v>28800</v>
      </c>
      <c r="J157" s="165" t="s">
        <v>376</v>
      </c>
      <c r="K157" s="99"/>
    </row>
    <row r="158" spans="2:11" x14ac:dyDescent="0.35">
      <c r="B158" s="49" t="str">
        <f>'6) Year 1 Budget'!B158</f>
        <v>Waste</v>
      </c>
      <c r="C158" s="87">
        <f>'6) Year 1 Budget'!C158</f>
        <v>200</v>
      </c>
      <c r="D158" s="97"/>
      <c r="E158" s="115">
        <f>'6) Year 1 Budget'!E158</f>
        <v>2400</v>
      </c>
      <c r="F158" s="87">
        <f>$C158*F$118*12</f>
        <v>2435.9999999999995</v>
      </c>
      <c r="G158" s="87">
        <f>$C158*G$118*12</f>
        <v>2472.5399999999995</v>
      </c>
      <c r="H158" s="87">
        <f>$C158*H$118*12</f>
        <v>2509.628099999999</v>
      </c>
      <c r="I158" s="87">
        <f>$C158*I$118*12</f>
        <v>2547.2725214999987</v>
      </c>
      <c r="J158" s="165" t="s">
        <v>505</v>
      </c>
      <c r="K158" s="99"/>
    </row>
    <row r="159" spans="2:11" x14ac:dyDescent="0.35">
      <c r="B159" s="49" t="str">
        <f>'6) Year 1 Budget'!B159</f>
        <v>Faculty Furniture</v>
      </c>
      <c r="C159" s="87">
        <v>2500</v>
      </c>
      <c r="D159" s="97"/>
      <c r="E159" s="115">
        <f>'6) Year 1 Budget'!E159</f>
        <v>10000</v>
      </c>
      <c r="F159" s="87">
        <f>$C159*F$118*'2) Student Assumptions'!F$55</f>
        <v>5074.9999999999991</v>
      </c>
      <c r="G159" s="87">
        <f>$C159*G$118*'2) Student Assumptions'!G$55</f>
        <v>5151.1249999999982</v>
      </c>
      <c r="H159" s="87">
        <f>$C159*H$118*'2) Student Assumptions'!H$55</f>
        <v>5228.3918749999984</v>
      </c>
      <c r="I159" s="87">
        <f>$C159*I$118*'2) Student Assumptions'!I$55</f>
        <v>5306.8177531249976</v>
      </c>
      <c r="J159" s="165" t="s">
        <v>520</v>
      </c>
      <c r="K159" s="99"/>
    </row>
    <row r="160" spans="2:11" x14ac:dyDescent="0.35">
      <c r="B160" s="49" t="str">
        <f>'6) Year 1 Budget'!B160</f>
        <v>Student Furniture</v>
      </c>
      <c r="C160" s="87">
        <f>'6) Year 1 Budget'!C160</f>
        <v>5000</v>
      </c>
      <c r="D160" s="97"/>
      <c r="E160" s="115">
        <f>'6) Year 1 Budget'!E160</f>
        <v>20000</v>
      </c>
      <c r="F160" s="87">
        <f>$C160*F$118*'2) Student Assumptions'!F$55</f>
        <v>10149.999999999998</v>
      </c>
      <c r="G160" s="87">
        <f>$C160*G$118*'2) Student Assumptions'!G$55</f>
        <v>10302.249999999996</v>
      </c>
      <c r="H160" s="87">
        <f>$C160*H$118*'2) Student Assumptions'!H$55</f>
        <v>10456.783749999997</v>
      </c>
      <c r="I160" s="87">
        <f>$C160*I$118*'2) Student Assumptions'!I$55</f>
        <v>10613.635506249995</v>
      </c>
      <c r="J160" s="165" t="s">
        <v>521</v>
      </c>
      <c r="K160" s="99"/>
    </row>
    <row r="161" spans="2:11" x14ac:dyDescent="0.35">
      <c r="B161" s="49" t="str">
        <f>'6) Year 1 Budget'!B161</f>
        <v>Internet/Network Equipment</v>
      </c>
      <c r="C161" s="87">
        <f>'6) Year 1 Budget'!C161</f>
        <v>8000</v>
      </c>
      <c r="D161" s="97"/>
      <c r="E161" s="115">
        <f>'6) Year 1 Budget'!E161</f>
        <v>8000</v>
      </c>
      <c r="F161" s="87">
        <f>$C161*F118</f>
        <v>8119.9999999999991</v>
      </c>
      <c r="G161" s="87">
        <f>$C161*G118</f>
        <v>8241.7999999999975</v>
      </c>
      <c r="H161" s="87">
        <f>$C161*H118</f>
        <v>8365.426999999996</v>
      </c>
      <c r="I161" s="87">
        <f>$C161*I118</f>
        <v>8490.9084049999947</v>
      </c>
      <c r="J161" s="165" t="s">
        <v>522</v>
      </c>
      <c r="K161" s="99"/>
    </row>
    <row r="162" spans="2:11" x14ac:dyDescent="0.35">
      <c r="B162" s="49" t="str">
        <f>'6) Year 1 Budget'!B162</f>
        <v>Other Equipment</v>
      </c>
      <c r="C162" s="87">
        <v>1000</v>
      </c>
      <c r="D162" s="97"/>
      <c r="E162" s="115">
        <f>'6) Year 1 Budget'!E162</f>
        <v>5000</v>
      </c>
      <c r="F162" s="87">
        <f>$C162*F118</f>
        <v>1014.9999999999999</v>
      </c>
      <c r="G162" s="87">
        <f>$C162*G118</f>
        <v>1030.2249999999997</v>
      </c>
      <c r="H162" s="87">
        <f>$C162*H118</f>
        <v>1045.6783749999995</v>
      </c>
      <c r="I162" s="87">
        <f>$C162*I118</f>
        <v>1061.3635506249993</v>
      </c>
      <c r="J162" s="165" t="s">
        <v>523</v>
      </c>
      <c r="K162" s="99"/>
    </row>
    <row r="163" spans="2:11" x14ac:dyDescent="0.35">
      <c r="B163" s="49" t="str">
        <f>'6) Year 1 Budget'!B163</f>
        <v>Building Decorum</v>
      </c>
      <c r="C163" s="87">
        <v>1000</v>
      </c>
      <c r="D163" s="97"/>
      <c r="E163" s="115">
        <f>'6) Year 1 Budget'!E163</f>
        <v>5000</v>
      </c>
      <c r="F163" s="87">
        <f>$C163*F118</f>
        <v>1014.9999999999999</v>
      </c>
      <c r="G163" s="87">
        <f>$C163*G118</f>
        <v>1030.2249999999997</v>
      </c>
      <c r="H163" s="87">
        <f>$C163*H118</f>
        <v>1045.6783749999995</v>
      </c>
      <c r="I163" s="87">
        <f>$C163*I118</f>
        <v>1061.3635506249993</v>
      </c>
      <c r="J163" s="165" t="s">
        <v>524</v>
      </c>
      <c r="K163" s="99"/>
    </row>
    <row r="164" spans="2:11" x14ac:dyDescent="0.35">
      <c r="B164" s="49" t="str">
        <f>'6) Year 1 Budget'!B164</f>
        <v>Tenant Improvements</v>
      </c>
      <c r="C164" s="87">
        <v>2</v>
      </c>
      <c r="D164" s="97"/>
      <c r="E164" s="115">
        <f>'6) Year 1 Budget'!E164</f>
        <v>19200</v>
      </c>
      <c r="F164" s="87">
        <f>$C164*80*'2) Student Assumptions'!F$31</f>
        <v>9600</v>
      </c>
      <c r="G164" s="87">
        <f>$C164*80*'2) Student Assumptions'!G$31</f>
        <v>9600</v>
      </c>
      <c r="H164" s="87">
        <f>$C164*80*'2) Student Assumptions'!H$31</f>
        <v>9600</v>
      </c>
      <c r="I164" s="87">
        <f>$C164*80*'2) Student Assumptions'!I$31</f>
        <v>9600</v>
      </c>
      <c r="J164" s="165" t="s">
        <v>525</v>
      </c>
      <c r="K164" s="99"/>
    </row>
    <row r="165" spans="2:11" x14ac:dyDescent="0.35">
      <c r="B165" s="49" t="str">
        <f>'6) Year 1 Budget'!B165</f>
        <v>Other</v>
      </c>
      <c r="C165" s="87">
        <f>'6) Year 1 Budget'!C165</f>
        <v>0</v>
      </c>
      <c r="D165" s="97"/>
      <c r="E165" s="115">
        <f>'6) Year 1 Budget'!E165</f>
        <v>0</v>
      </c>
      <c r="F165" s="87">
        <f t="shared" ref="F165:F169" si="7">$E165*(1+F$117)</f>
        <v>0</v>
      </c>
      <c r="G165" s="87">
        <f t="shared" ref="G165:I169" si="8">$E165*(1+G$117)</f>
        <v>0</v>
      </c>
      <c r="H165" s="87">
        <f t="shared" si="8"/>
        <v>0</v>
      </c>
      <c r="I165" s="87">
        <f t="shared" si="8"/>
        <v>0</v>
      </c>
      <c r="J165" s="165"/>
      <c r="K165" s="99"/>
    </row>
    <row r="166" spans="2:11" x14ac:dyDescent="0.35">
      <c r="B166" s="49" t="str">
        <f>'6) Year 1 Budget'!B166</f>
        <v>Other</v>
      </c>
      <c r="C166" s="87">
        <f>'6) Year 1 Budget'!C166</f>
        <v>0</v>
      </c>
      <c r="D166" s="97"/>
      <c r="E166" s="115">
        <f>'6) Year 1 Budget'!E166</f>
        <v>0</v>
      </c>
      <c r="F166" s="87">
        <f t="shared" si="7"/>
        <v>0</v>
      </c>
      <c r="G166" s="87">
        <f t="shared" si="8"/>
        <v>0</v>
      </c>
      <c r="H166" s="87">
        <f t="shared" si="8"/>
        <v>0</v>
      </c>
      <c r="I166" s="87">
        <f t="shared" si="8"/>
        <v>0</v>
      </c>
      <c r="J166" s="165"/>
      <c r="K166" s="99"/>
    </row>
    <row r="167" spans="2:11" x14ac:dyDescent="0.35">
      <c r="B167" s="49" t="str">
        <f>'6) Year 1 Budget'!B167</f>
        <v>Other</v>
      </c>
      <c r="C167" s="87">
        <f>'6) Year 1 Budget'!C167</f>
        <v>0</v>
      </c>
      <c r="D167" s="97"/>
      <c r="E167" s="115">
        <f>'6) Year 1 Budget'!E167</f>
        <v>0</v>
      </c>
      <c r="F167" s="87">
        <f t="shared" si="7"/>
        <v>0</v>
      </c>
      <c r="G167" s="87">
        <f t="shared" si="8"/>
        <v>0</v>
      </c>
      <c r="H167" s="87">
        <f t="shared" si="8"/>
        <v>0</v>
      </c>
      <c r="I167" s="87">
        <f t="shared" si="8"/>
        <v>0</v>
      </c>
      <c r="J167" s="165"/>
      <c r="K167" s="99"/>
    </row>
    <row r="168" spans="2:11" x14ac:dyDescent="0.35">
      <c r="B168" s="49" t="str">
        <f>'6) Year 1 Budget'!B168</f>
        <v>Other</v>
      </c>
      <c r="C168" s="87">
        <f>'6) Year 1 Budget'!C168</f>
        <v>0</v>
      </c>
      <c r="D168" s="97"/>
      <c r="E168" s="115">
        <f>'6) Year 1 Budget'!E168</f>
        <v>0</v>
      </c>
      <c r="F168" s="87">
        <f t="shared" si="7"/>
        <v>0</v>
      </c>
      <c r="G168" s="87">
        <f t="shared" si="8"/>
        <v>0</v>
      </c>
      <c r="H168" s="87">
        <f t="shared" si="8"/>
        <v>0</v>
      </c>
      <c r="I168" s="87">
        <f t="shared" si="8"/>
        <v>0</v>
      </c>
      <c r="J168" s="165"/>
      <c r="K168" s="99"/>
    </row>
    <row r="169" spans="2:11" x14ac:dyDescent="0.35">
      <c r="B169" s="49" t="str">
        <f>'6) Year 1 Budget'!B169</f>
        <v>Other</v>
      </c>
      <c r="C169" s="87">
        <f>'6) Year 1 Budget'!C169</f>
        <v>0</v>
      </c>
      <c r="D169" s="97"/>
      <c r="E169" s="115">
        <f>'6) Year 1 Budget'!E169</f>
        <v>0</v>
      </c>
      <c r="F169" s="87">
        <f t="shared" si="7"/>
        <v>0</v>
      </c>
      <c r="G169" s="87">
        <f t="shared" si="8"/>
        <v>0</v>
      </c>
      <c r="H169" s="87">
        <f t="shared" si="8"/>
        <v>0</v>
      </c>
      <c r="I169" s="87">
        <f t="shared" si="8"/>
        <v>0</v>
      </c>
      <c r="J169" s="165"/>
      <c r="K169" s="99"/>
    </row>
    <row r="170" spans="2:11" x14ac:dyDescent="0.35">
      <c r="B170" s="39"/>
      <c r="C170" s="58"/>
      <c r="D170" s="58"/>
      <c r="E170" s="72"/>
      <c r="F170" s="73"/>
      <c r="G170" s="73"/>
      <c r="H170" s="73"/>
      <c r="I170" s="73"/>
      <c r="J170" s="72"/>
      <c r="K170" s="99"/>
    </row>
    <row r="171" spans="2:11" x14ac:dyDescent="0.35">
      <c r="B171" s="39" t="s">
        <v>125</v>
      </c>
      <c r="C171" s="58"/>
      <c r="D171" s="58"/>
      <c r="E171" s="72"/>
      <c r="F171" s="73"/>
      <c r="G171" s="73"/>
      <c r="H171" s="73"/>
      <c r="I171" s="73"/>
      <c r="J171" s="72"/>
      <c r="K171" s="99"/>
    </row>
    <row r="172" spans="2:11" ht="29" x14ac:dyDescent="0.35">
      <c r="B172" s="49" t="str">
        <f>'6) Year 1 Budget'!B172</f>
        <v>Staff Recruitment</v>
      </c>
      <c r="C172" s="87">
        <f>'6) Year 1 Budget'!C172</f>
        <v>15000</v>
      </c>
      <c r="D172" s="97"/>
      <c r="E172" s="115">
        <f>'6) Year 1 Budget'!E172</f>
        <v>15000</v>
      </c>
      <c r="F172" s="88">
        <f>$E172*(1+F$117)</f>
        <v>15224.999999999998</v>
      </c>
      <c r="G172" s="88">
        <f t="shared" ref="G172:I176" si="9">$E172*(1+G$117)</f>
        <v>15224.999999999998</v>
      </c>
      <c r="H172" s="88">
        <f t="shared" si="9"/>
        <v>15224.999999999998</v>
      </c>
      <c r="I172" s="88">
        <f t="shared" si="9"/>
        <v>15224.999999999998</v>
      </c>
      <c r="J172" s="261" t="s">
        <v>526</v>
      </c>
      <c r="K172" s="99"/>
    </row>
    <row r="173" spans="2:11" ht="29" x14ac:dyDescent="0.35">
      <c r="B173" s="49" t="str">
        <f>'6) Year 1 Budget'!B173</f>
        <v>Student Recruitment &amp; Community Engagement</v>
      </c>
      <c r="C173" s="87">
        <f>'6) Year 1 Budget'!C173</f>
        <v>50</v>
      </c>
      <c r="D173" s="97"/>
      <c r="E173" s="115">
        <f>'6) Year 1 Budget'!E173</f>
        <v>9000</v>
      </c>
      <c r="F173" s="88">
        <f>$E173*(1+F$117)</f>
        <v>9135</v>
      </c>
      <c r="G173" s="88">
        <f t="shared" si="9"/>
        <v>9135</v>
      </c>
      <c r="H173" s="88">
        <f t="shared" si="9"/>
        <v>9135</v>
      </c>
      <c r="I173" s="88">
        <f t="shared" si="9"/>
        <v>9135</v>
      </c>
      <c r="J173" s="261" t="s">
        <v>527</v>
      </c>
      <c r="K173" s="99"/>
    </row>
    <row r="174" spans="2:11" x14ac:dyDescent="0.35">
      <c r="B174" s="49" t="str">
        <f>'6) Year 1 Budget'!B174</f>
        <v>Parent &amp; Staff Meetings</v>
      </c>
      <c r="C174" s="87">
        <f>'6) Year 1 Budget'!C174</f>
        <v>400</v>
      </c>
      <c r="D174" s="97"/>
      <c r="E174" s="115">
        <f>'6) Year 1 Budget'!E174</f>
        <v>4000</v>
      </c>
      <c r="F174" s="88">
        <f>$E174*(1+F$117)</f>
        <v>4059.9999999999995</v>
      </c>
      <c r="G174" s="88">
        <f t="shared" si="9"/>
        <v>4059.9999999999995</v>
      </c>
      <c r="H174" s="88">
        <f t="shared" si="9"/>
        <v>4059.9999999999995</v>
      </c>
      <c r="I174" s="88">
        <f t="shared" si="9"/>
        <v>4059.9999999999995</v>
      </c>
      <c r="J174" s="165" t="s">
        <v>528</v>
      </c>
      <c r="K174" s="99"/>
    </row>
    <row r="175" spans="2:11" x14ac:dyDescent="0.35">
      <c r="B175" s="49" t="str">
        <f>'6) Year 1 Budget'!B175</f>
        <v>Authorizer Fee</v>
      </c>
      <c r="C175" s="87">
        <f>'6) Year 1 Budget'!C175</f>
        <v>31187</v>
      </c>
      <c r="D175" s="97"/>
      <c r="E175" s="115">
        <f>'6) Year 1 Budget'!E175</f>
        <v>31187</v>
      </c>
      <c r="F175" s="88">
        <f>$E175*(1+F$117)</f>
        <v>31654.804999999997</v>
      </c>
      <c r="G175" s="88">
        <f t="shared" si="9"/>
        <v>31654.804999999997</v>
      </c>
      <c r="H175" s="88">
        <f t="shared" si="9"/>
        <v>31654.804999999997</v>
      </c>
      <c r="I175" s="88">
        <f t="shared" si="9"/>
        <v>31654.804999999997</v>
      </c>
      <c r="J175" s="165" t="s">
        <v>529</v>
      </c>
      <c r="K175" s="99"/>
    </row>
    <row r="176" spans="2:11" x14ac:dyDescent="0.35">
      <c r="B176" s="49" t="str">
        <f>'6) Year 1 Budget'!B176</f>
        <v>Other</v>
      </c>
      <c r="C176" s="87">
        <v>0</v>
      </c>
      <c r="D176" s="97"/>
      <c r="E176" s="115">
        <f>'6) Year 1 Budget'!E176</f>
        <v>0</v>
      </c>
      <c r="F176" s="88">
        <f>$E176*(1+F$117)</f>
        <v>0</v>
      </c>
      <c r="G176" s="88">
        <f t="shared" si="9"/>
        <v>0</v>
      </c>
      <c r="H176" s="88">
        <f t="shared" si="9"/>
        <v>0</v>
      </c>
      <c r="I176" s="88">
        <f t="shared" si="9"/>
        <v>0</v>
      </c>
      <c r="J176" s="165"/>
      <c r="K176" s="99"/>
    </row>
    <row r="177" spans="2:11" x14ac:dyDescent="0.35">
      <c r="B177" s="39"/>
      <c r="C177" s="58"/>
      <c r="D177" s="58"/>
      <c r="E177" s="73"/>
      <c r="F177" s="73"/>
      <c r="G177" s="73"/>
      <c r="H177" s="73"/>
      <c r="I177" s="73"/>
      <c r="J177" s="72"/>
      <c r="K177" s="99"/>
    </row>
    <row r="178" spans="2:11" x14ac:dyDescent="0.35">
      <c r="B178" s="39" t="s">
        <v>126</v>
      </c>
      <c r="C178" s="58"/>
      <c r="D178" s="58"/>
      <c r="E178" s="73"/>
      <c r="F178" s="73"/>
      <c r="G178" s="73"/>
      <c r="H178" s="73"/>
      <c r="I178" s="73"/>
      <c r="J178" s="72"/>
      <c r="K178" s="99"/>
    </row>
    <row r="179" spans="2:11" x14ac:dyDescent="0.35">
      <c r="B179" s="49" t="str">
        <f>'6) Year 1 Budget'!B179</f>
        <v>Other</v>
      </c>
      <c r="C179" s="87">
        <v>0</v>
      </c>
      <c r="D179" s="97"/>
      <c r="E179" s="115">
        <f>'6) Year 1 Budget'!E179</f>
        <v>0</v>
      </c>
      <c r="F179" s="88">
        <v>0</v>
      </c>
      <c r="G179" s="88">
        <v>0</v>
      </c>
      <c r="H179" s="88">
        <v>0</v>
      </c>
      <c r="I179" s="88">
        <v>0</v>
      </c>
      <c r="J179" s="165"/>
      <c r="K179" s="99"/>
    </row>
    <row r="180" spans="2:11" x14ac:dyDescent="0.35">
      <c r="B180" s="49" t="str">
        <f>'6) Year 1 Budget'!B180</f>
        <v>Other</v>
      </c>
      <c r="C180" s="87">
        <v>0</v>
      </c>
      <c r="D180" s="97"/>
      <c r="E180" s="115">
        <f>'6) Year 1 Budget'!E180</f>
        <v>0</v>
      </c>
      <c r="F180" s="88">
        <v>0</v>
      </c>
      <c r="G180" s="88">
        <v>0</v>
      </c>
      <c r="H180" s="88">
        <v>0</v>
      </c>
      <c r="I180" s="88">
        <v>0</v>
      </c>
      <c r="J180" s="165"/>
      <c r="K180" s="99"/>
    </row>
    <row r="181" spans="2:11" x14ac:dyDescent="0.35">
      <c r="B181" s="49" t="str">
        <f>'6) Year 1 Budget'!B181</f>
        <v>Other</v>
      </c>
      <c r="C181" s="87">
        <v>0</v>
      </c>
      <c r="D181" s="97"/>
      <c r="E181" s="115">
        <f>'6) Year 1 Budget'!E181</f>
        <v>0</v>
      </c>
      <c r="F181" s="88">
        <v>0</v>
      </c>
      <c r="G181" s="88">
        <v>0</v>
      </c>
      <c r="H181" s="88">
        <v>0</v>
      </c>
      <c r="I181" s="88">
        <v>0</v>
      </c>
      <c r="J181" s="165"/>
      <c r="K181" s="99"/>
    </row>
    <row r="182" spans="2:11" x14ac:dyDescent="0.35">
      <c r="B182" s="49" t="str">
        <f>'6) Year 1 Budget'!B182</f>
        <v>Other</v>
      </c>
      <c r="C182" s="87">
        <v>0</v>
      </c>
      <c r="D182" s="97"/>
      <c r="E182" s="115">
        <f>'6) Year 1 Budget'!E182</f>
        <v>0</v>
      </c>
      <c r="F182" s="88">
        <v>0</v>
      </c>
      <c r="G182" s="88">
        <v>0</v>
      </c>
      <c r="H182" s="88">
        <v>0</v>
      </c>
      <c r="I182" s="88">
        <v>0</v>
      </c>
      <c r="J182" s="165"/>
      <c r="K182" s="99"/>
    </row>
    <row r="183" spans="2:11" x14ac:dyDescent="0.35">
      <c r="B183" s="49" t="str">
        <f>'6) Year 1 Budget'!B183</f>
        <v>Other</v>
      </c>
      <c r="C183" s="87">
        <v>0</v>
      </c>
      <c r="D183" s="97"/>
      <c r="E183" s="115">
        <f>'6) Year 1 Budget'!E183</f>
        <v>0</v>
      </c>
      <c r="F183" s="88">
        <v>0</v>
      </c>
      <c r="G183" s="88">
        <v>0</v>
      </c>
      <c r="H183" s="88">
        <v>0</v>
      </c>
      <c r="I183" s="88">
        <v>0</v>
      </c>
      <c r="J183" s="165"/>
      <c r="K183" s="99"/>
    </row>
    <row r="184" spans="2:11" x14ac:dyDescent="0.35">
      <c r="B184" s="39"/>
      <c r="C184" s="58"/>
      <c r="D184" s="58"/>
      <c r="E184" s="73"/>
      <c r="F184" s="73"/>
      <c r="G184" s="73"/>
      <c r="H184" s="73"/>
      <c r="I184" s="73"/>
      <c r="J184" s="72"/>
      <c r="K184" s="99"/>
    </row>
    <row r="185" spans="2:11" ht="15" thickBot="1" x14ac:dyDescent="0.4">
      <c r="B185" s="39" t="s">
        <v>129</v>
      </c>
      <c r="C185" s="58"/>
      <c r="D185" s="58"/>
      <c r="E185" s="71">
        <f>SUM(E121:E135,E138:E152,E155:E169,E172:E176,E179:E183)</f>
        <v>524492</v>
      </c>
      <c r="F185" s="71">
        <f>SUM(F121:F135,F138:F152,F155:F169,F172:F176,F179:F183)</f>
        <v>559218.55500000005</v>
      </c>
      <c r="G185" s="71">
        <f>SUM(G121:G135,G138:G152,G155:G169,G172:G176,G179:G183)</f>
        <v>620058.25250000006</v>
      </c>
      <c r="H185" s="71">
        <f>SUM(H121:H135,H138:H152,H155:H169,H172:H176,H179:H183)</f>
        <v>758949.11168437474</v>
      </c>
      <c r="I185" s="71">
        <f>SUM(I121:I135,I138:I152,I155:I169,I172:I176,I179:I183)</f>
        <v>850342.27019868745</v>
      </c>
      <c r="J185" s="72"/>
      <c r="K185" s="99"/>
    </row>
    <row r="186" spans="2:11" ht="15" thickTop="1" x14ac:dyDescent="0.35">
      <c r="B186" s="39"/>
      <c r="C186" s="58"/>
      <c r="D186" s="58"/>
      <c r="E186" s="73"/>
      <c r="F186" s="73"/>
      <c r="G186" s="73"/>
      <c r="H186" s="73"/>
      <c r="I186" s="73"/>
      <c r="J186" s="72"/>
      <c r="K186" s="99"/>
    </row>
    <row r="187" spans="2:11" ht="15" thickBot="1" x14ac:dyDescent="0.4">
      <c r="B187" s="39" t="s">
        <v>132</v>
      </c>
      <c r="C187" s="58"/>
      <c r="D187" s="58"/>
      <c r="E187" s="71">
        <f>E85+E110+E185</f>
        <v>1297375.3999999999</v>
      </c>
      <c r="F187" s="71">
        <f>F85+F110+F185</f>
        <v>1719086.7374999998</v>
      </c>
      <c r="G187" s="71">
        <f>G85+G110+G185</f>
        <v>2210223.6831875001</v>
      </c>
      <c r="H187" s="71">
        <f>H85+H110+H185</f>
        <v>2818135.844120312</v>
      </c>
      <c r="I187" s="71">
        <f>I85+I110+I185</f>
        <v>3282943.0026427493</v>
      </c>
      <c r="J187" s="72"/>
      <c r="K187" s="99"/>
    </row>
    <row r="188" spans="2:11" ht="15.5" thickTop="1" thickBot="1" x14ac:dyDescent="0.4">
      <c r="B188" s="132"/>
      <c r="C188" s="133"/>
      <c r="D188" s="133"/>
      <c r="E188" s="133"/>
      <c r="F188" s="133"/>
      <c r="G188" s="133"/>
      <c r="H188" s="133"/>
      <c r="I188" s="133"/>
      <c r="J188" s="133"/>
      <c r="K188" s="134"/>
    </row>
    <row r="189" spans="2:11" x14ac:dyDescent="0.35">
      <c r="K189" s="97"/>
    </row>
  </sheetData>
  <sheetProtection formatColumns="0" formatRows="0"/>
  <mergeCells count="7">
    <mergeCell ref="B8:K8"/>
    <mergeCell ref="B50:K50"/>
    <mergeCell ref="B88:K88"/>
    <mergeCell ref="B113:K113"/>
    <mergeCell ref="B3:K3"/>
    <mergeCell ref="B4:K4"/>
    <mergeCell ref="B5:K5"/>
  </mergeCells>
  <pageMargins left="0.7" right="0.7" top="0.75" bottom="0.75" header="0.3" footer="0.3"/>
  <pageSetup scale="64" fitToHeight="5" orientation="landscape" horizontalDpi="1200" verticalDpi="1200" r:id="rId1"/>
  <headerFooter>
    <oddFooter>&amp;L&amp;A&amp;RPage &amp;P of &amp;N</oddFooter>
  </headerFooter>
  <rowBreaks count="4" manualBreakCount="4">
    <brk id="49" max="10" man="1"/>
    <brk id="87" max="10" man="1"/>
    <brk id="112" max="10" man="1"/>
    <brk id="15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K41"/>
  <sheetViews>
    <sheetView showGridLines="0" tabSelected="1" topLeftCell="A12" zoomScale="70" zoomScaleNormal="70" workbookViewId="0">
      <selection activeCell="D22" sqref="D22"/>
    </sheetView>
  </sheetViews>
  <sheetFormatPr defaultColWidth="8.81640625" defaultRowHeight="14.5" x14ac:dyDescent="0.35"/>
  <cols>
    <col min="1" max="1" width="20.26953125" style="5" customWidth="1"/>
    <col min="2" max="2" width="8.81640625" style="5"/>
    <col min="3" max="3" width="27.7265625" style="5" customWidth="1"/>
    <col min="4" max="9" width="12.7265625" style="5" customWidth="1"/>
    <col min="10" max="16384" width="8.81640625" style="5"/>
  </cols>
  <sheetData>
    <row r="1" spans="1:11" ht="15" thickBot="1" x14ac:dyDescent="0.4"/>
    <row r="2" spans="1:11" x14ac:dyDescent="0.35">
      <c r="B2" s="93"/>
      <c r="C2" s="94"/>
      <c r="D2" s="94"/>
      <c r="E2" s="94"/>
      <c r="F2" s="94"/>
      <c r="G2" s="94"/>
      <c r="H2" s="94"/>
      <c r="I2" s="94"/>
      <c r="J2" s="94"/>
      <c r="K2" s="95"/>
    </row>
    <row r="3" spans="1:11" x14ac:dyDescent="0.35">
      <c r="B3" s="335" t="str">
        <f>'1) Proposed School Information'!E12</f>
        <v>Luceo Collegiate School for the Arts Charter School</v>
      </c>
      <c r="C3" s="320"/>
      <c r="D3" s="320"/>
      <c r="E3" s="320"/>
      <c r="F3" s="320"/>
      <c r="G3" s="320"/>
      <c r="H3" s="320"/>
      <c r="I3" s="320"/>
      <c r="J3" s="320"/>
      <c r="K3" s="336"/>
    </row>
    <row r="4" spans="1:11" x14ac:dyDescent="0.35">
      <c r="B4" s="335" t="s">
        <v>17</v>
      </c>
      <c r="C4" s="320"/>
      <c r="D4" s="320"/>
      <c r="E4" s="320"/>
      <c r="F4" s="320"/>
      <c r="G4" s="320"/>
      <c r="H4" s="320"/>
      <c r="I4" s="320"/>
      <c r="J4" s="320"/>
      <c r="K4" s="336"/>
    </row>
    <row r="5" spans="1:11" x14ac:dyDescent="0.35">
      <c r="B5" s="335" t="s">
        <v>224</v>
      </c>
      <c r="C5" s="320"/>
      <c r="D5" s="320"/>
      <c r="E5" s="320"/>
      <c r="F5" s="320"/>
      <c r="G5" s="320"/>
      <c r="H5" s="320"/>
      <c r="I5" s="320"/>
      <c r="J5" s="320"/>
      <c r="K5" s="336"/>
    </row>
    <row r="6" spans="1:11" x14ac:dyDescent="0.35">
      <c r="B6" s="96"/>
      <c r="C6" s="97"/>
      <c r="D6" s="97"/>
      <c r="E6" s="97"/>
      <c r="F6" s="97"/>
      <c r="G6" s="97"/>
      <c r="H6" s="97"/>
      <c r="I6" s="97"/>
      <c r="J6" s="97"/>
      <c r="K6" s="99"/>
    </row>
    <row r="7" spans="1:11" x14ac:dyDescent="0.35">
      <c r="B7" s="96"/>
      <c r="C7" s="97"/>
      <c r="D7" s="97"/>
      <c r="E7" s="97"/>
      <c r="F7" s="97"/>
      <c r="G7" s="97"/>
      <c r="H7" s="97"/>
      <c r="I7" s="97"/>
      <c r="J7" s="97"/>
      <c r="K7" s="99"/>
    </row>
    <row r="8" spans="1:11" x14ac:dyDescent="0.35">
      <c r="B8" s="331" t="s">
        <v>187</v>
      </c>
      <c r="C8" s="319"/>
      <c r="D8" s="319"/>
      <c r="E8" s="319"/>
      <c r="F8" s="319"/>
      <c r="G8" s="319"/>
      <c r="H8" s="319"/>
      <c r="I8" s="319"/>
      <c r="J8" s="319"/>
      <c r="K8" s="332"/>
    </row>
    <row r="9" spans="1:11" x14ac:dyDescent="0.35">
      <c r="B9" s="96"/>
      <c r="C9" s="97"/>
      <c r="D9" s="97"/>
      <c r="E9" s="97"/>
      <c r="F9" s="97"/>
      <c r="G9" s="97"/>
      <c r="H9" s="97"/>
      <c r="I9" s="97"/>
      <c r="J9" s="97"/>
      <c r="K9" s="99"/>
    </row>
    <row r="10" spans="1:11" x14ac:dyDescent="0.35">
      <c r="B10" s="49"/>
      <c r="C10" s="61"/>
      <c r="D10" s="120" t="s">
        <v>136</v>
      </c>
      <c r="E10" s="120" t="s">
        <v>47</v>
      </c>
      <c r="F10" s="120" t="s">
        <v>48</v>
      </c>
      <c r="G10" s="120" t="s">
        <v>49</v>
      </c>
      <c r="H10" s="120" t="s">
        <v>50</v>
      </c>
      <c r="I10" s="120" t="s">
        <v>51</v>
      </c>
      <c r="J10" s="164"/>
      <c r="K10" s="99"/>
    </row>
    <row r="11" spans="1:11" x14ac:dyDescent="0.35">
      <c r="B11" s="49"/>
      <c r="C11" s="61"/>
      <c r="D11" s="120" t="str">
        <f>'3) Pre-Opening Budget'!E11</f>
        <v>2020-21</v>
      </c>
      <c r="E11" s="120" t="str">
        <f>IF('1) Proposed School Information'!E21="Select Year"," ",'1) Proposed School Information'!E21)</f>
        <v>2021-22</v>
      </c>
      <c r="F11" s="120" t="str">
        <f>IF(E11=" "," ",VLOOKUP(E11,Source!$A$8:$B$21,2,FALSE))</f>
        <v>2022-23</v>
      </c>
      <c r="G11" s="120" t="str">
        <f>IF(F11=" "," ",VLOOKUP(F11,Source!$A$8:$B$21,2,FALSE))</f>
        <v>2023-24</v>
      </c>
      <c r="H11" s="120" t="str">
        <f>IF(G11=" "," ",VLOOKUP(G11,Source!$A$8:$B$21,2,FALSE))</f>
        <v>2024-25</v>
      </c>
      <c r="I11" s="120" t="str">
        <f>IF(H11=" "," ",VLOOKUP(H11,Source!$A$8:$B$21,2,FALSE))</f>
        <v>2026-27</v>
      </c>
      <c r="J11" s="164"/>
      <c r="K11" s="99"/>
    </row>
    <row r="12" spans="1:11" x14ac:dyDescent="0.35">
      <c r="B12" s="49"/>
      <c r="C12" s="61"/>
      <c r="D12" s="103"/>
      <c r="E12" s="103"/>
      <c r="F12" s="103"/>
      <c r="G12" s="103"/>
      <c r="H12" s="103"/>
      <c r="I12" s="103"/>
      <c r="J12" s="164"/>
      <c r="K12" s="99"/>
    </row>
    <row r="13" spans="1:11" x14ac:dyDescent="0.35">
      <c r="B13" s="49"/>
      <c r="C13" s="127" t="s">
        <v>208</v>
      </c>
      <c r="D13" s="243">
        <v>0</v>
      </c>
      <c r="E13" s="179">
        <f>D32</f>
        <v>78154.475000000006</v>
      </c>
      <c r="F13" s="179">
        <f>E32</f>
        <v>126739.0750000001</v>
      </c>
      <c r="G13" s="179">
        <f>F32</f>
        <v>191666.23449999993</v>
      </c>
      <c r="H13" s="179">
        <f>G32</f>
        <v>256896.0252524993</v>
      </c>
      <c r="I13" s="179">
        <f>H32</f>
        <v>317133.02619356115</v>
      </c>
      <c r="J13" s="10"/>
      <c r="K13" s="99"/>
    </row>
    <row r="14" spans="1:11" s="10" customFormat="1" x14ac:dyDescent="0.35">
      <c r="A14" s="5"/>
      <c r="B14" s="49"/>
      <c r="C14" s="127"/>
      <c r="D14" s="179"/>
      <c r="E14" s="179"/>
      <c r="F14" s="179"/>
      <c r="G14" s="179"/>
      <c r="H14" s="179"/>
      <c r="I14" s="179"/>
      <c r="K14" s="99"/>
    </row>
    <row r="15" spans="1:11" x14ac:dyDescent="0.35">
      <c r="B15" s="49"/>
      <c r="C15" s="97" t="s">
        <v>102</v>
      </c>
      <c r="D15" s="179">
        <v>0</v>
      </c>
      <c r="E15" s="179">
        <f>SUM('8) Year 2 through 5 Budget'!E18:E22)</f>
        <v>1075560</v>
      </c>
      <c r="F15" s="179">
        <f>SUM('8) Year 2 through 5 Budget'!F18:F22)</f>
        <v>1588413.8969999996</v>
      </c>
      <c r="G15" s="179">
        <f>SUM('8) Year 2 through 5 Budget'!G18:G22)</f>
        <v>2149653.4739399995</v>
      </c>
      <c r="H15" s="179">
        <f>SUM('8) Year 2 through 5 Budget'!H18:H22)</f>
        <v>2727372.8450613739</v>
      </c>
      <c r="I15" s="179">
        <f>SUM('8) Year 2 through 5 Budget'!I18:I22)</f>
        <v>3321940.1252847533</v>
      </c>
      <c r="J15" s="10"/>
      <c r="K15" s="99"/>
    </row>
    <row r="16" spans="1:11" x14ac:dyDescent="0.35">
      <c r="B16" s="49"/>
      <c r="C16" s="97" t="s">
        <v>103</v>
      </c>
      <c r="D16" s="179">
        <f>'3) Pre-Opening Budget'!E30</f>
        <v>0</v>
      </c>
      <c r="E16" s="179">
        <f>SUM('8) Year 2 through 5 Budget'!E25:E32)</f>
        <v>250400</v>
      </c>
      <c r="F16" s="179">
        <f>SUM('8) Year 2 through 5 Budget'!F25:F32)</f>
        <v>175600</v>
      </c>
      <c r="G16" s="179">
        <f>SUM('8) Year 2 through 5 Budget'!G25:G32)</f>
        <v>100800</v>
      </c>
      <c r="H16" s="179">
        <f>SUM('8) Year 2 through 5 Budget'!H25:H32)</f>
        <v>126000</v>
      </c>
      <c r="I16" s="179">
        <f>SUM('8) Year 2 through 5 Budget'!I25:I32)</f>
        <v>151200</v>
      </c>
      <c r="J16" s="10"/>
      <c r="K16" s="99"/>
    </row>
    <row r="17" spans="2:11" x14ac:dyDescent="0.35">
      <c r="B17" s="49"/>
      <c r="C17" s="97" t="s">
        <v>111</v>
      </c>
      <c r="D17" s="179">
        <v>0</v>
      </c>
      <c r="E17" s="179">
        <f>SUM('8) Year 2 through 5 Budget'!E35:E39)</f>
        <v>0</v>
      </c>
      <c r="F17" s="179">
        <f>SUM('8) Year 2 through 5 Budget'!F35:F39)</f>
        <v>0</v>
      </c>
      <c r="G17" s="179">
        <f>SUM('8) Year 2 through 5 Budget'!G35:G39)</f>
        <v>0</v>
      </c>
      <c r="H17" s="179">
        <f>SUM('8) Year 2 through 5 Budget'!H35:H39)</f>
        <v>0</v>
      </c>
      <c r="I17" s="179">
        <f>SUM('8) Year 2 through 5 Budget'!I35:I39)</f>
        <v>0</v>
      </c>
      <c r="J17" s="10"/>
      <c r="K17" s="99"/>
    </row>
    <row r="18" spans="2:11" ht="15" thickBot="1" x14ac:dyDescent="0.4">
      <c r="B18" s="49"/>
      <c r="C18" s="97" t="s">
        <v>114</v>
      </c>
      <c r="D18" s="180">
        <f>SUM('3) Pre-Opening Budget'!E42:E46)</f>
        <v>335000</v>
      </c>
      <c r="E18" s="180">
        <f>SUM('8) Year 2 through 5 Budget'!E42:E46)</f>
        <v>20000</v>
      </c>
      <c r="F18" s="180">
        <f>SUM('8) Year 2 through 5 Budget'!F42:F46)</f>
        <v>20000</v>
      </c>
      <c r="G18" s="180">
        <f>SUM('8) Year 2 through 5 Budget'!G42:G46)</f>
        <v>25000</v>
      </c>
      <c r="H18" s="180">
        <f>SUM('8) Year 2 through 5 Budget'!H42:H46)</f>
        <v>25000</v>
      </c>
      <c r="I18" s="180">
        <f>SUM('8) Year 2 through 5 Budget'!I42:I46)</f>
        <v>30000</v>
      </c>
      <c r="J18" s="10"/>
      <c r="K18" s="99"/>
    </row>
    <row r="19" spans="2:11" ht="15" thickTop="1" x14ac:dyDescent="0.35">
      <c r="B19" s="49"/>
      <c r="C19" s="127" t="s">
        <v>113</v>
      </c>
      <c r="D19" s="179">
        <f t="shared" ref="D19:I19" si="0">SUM(D15:D18)</f>
        <v>335000</v>
      </c>
      <c r="E19" s="179">
        <f t="shared" si="0"/>
        <v>1345960</v>
      </c>
      <c r="F19" s="179">
        <f t="shared" si="0"/>
        <v>1784013.8969999996</v>
      </c>
      <c r="G19" s="179">
        <f t="shared" si="0"/>
        <v>2275453.4739399995</v>
      </c>
      <c r="H19" s="179">
        <f t="shared" si="0"/>
        <v>2878372.8450613739</v>
      </c>
      <c r="I19" s="179">
        <f t="shared" si="0"/>
        <v>3503140.1252847533</v>
      </c>
      <c r="J19" s="10"/>
      <c r="K19" s="99"/>
    </row>
    <row r="20" spans="2:11" x14ac:dyDescent="0.35">
      <c r="B20" s="49"/>
      <c r="C20" s="127"/>
      <c r="D20" s="179"/>
      <c r="E20" s="179"/>
      <c r="F20" s="179"/>
      <c r="G20" s="179"/>
      <c r="H20" s="179"/>
      <c r="I20" s="179"/>
      <c r="J20" s="10"/>
      <c r="K20" s="99"/>
    </row>
    <row r="21" spans="2:11" x14ac:dyDescent="0.35">
      <c r="B21" s="49"/>
      <c r="C21" s="97" t="s">
        <v>157</v>
      </c>
      <c r="D21" s="179">
        <f>'3) Pre-Opening Budget'!E92</f>
        <v>108850</v>
      </c>
      <c r="E21" s="179">
        <f>'8) Year 2 through 5 Budget'!E85</f>
        <v>594000</v>
      </c>
      <c r="F21" s="179">
        <f>'8) Year 2 through 5 Budget'!F85</f>
        <v>894824.99999999988</v>
      </c>
      <c r="G21" s="179">
        <f>'8) Year 2 through 5 Budget'!G85</f>
        <v>1230281.875</v>
      </c>
      <c r="H21" s="179">
        <f>'8) Year 2 through 5 Budget'!H85</f>
        <v>1592721.2343749998</v>
      </c>
      <c r="I21" s="179">
        <f>'8) Year 2 through 5 Budget'!I85</f>
        <v>1880897.1656249997</v>
      </c>
      <c r="J21" s="10"/>
      <c r="K21" s="99"/>
    </row>
    <row r="22" spans="2:11" x14ac:dyDescent="0.35">
      <c r="B22" s="49"/>
      <c r="C22" s="97" t="s">
        <v>158</v>
      </c>
      <c r="D22" s="179">
        <f>'3) Pre-Opening Budget'!E112</f>
        <v>16615.525000000001</v>
      </c>
      <c r="E22" s="179">
        <f>'8) Year 2 through 5 Budget'!E110</f>
        <v>178883.4</v>
      </c>
      <c r="F22" s="179">
        <f>'8) Year 2 through 5 Budget'!F110</f>
        <v>265043.1825</v>
      </c>
      <c r="G22" s="179">
        <f>'8) Year 2 through 5 Budget'!G110</f>
        <v>359883.55568749999</v>
      </c>
      <c r="H22" s="179">
        <f>'8) Year 2 through 5 Budget'!H110</f>
        <v>466465.49806093756</v>
      </c>
      <c r="I22" s="179">
        <f>'8) Year 2 through 5 Budget'!I110</f>
        <v>551703.56681906246</v>
      </c>
      <c r="J22" s="10"/>
      <c r="K22" s="99"/>
    </row>
    <row r="23" spans="2:11" x14ac:dyDescent="0.35">
      <c r="B23" s="49"/>
      <c r="C23" s="97" t="s">
        <v>123</v>
      </c>
      <c r="D23" s="179">
        <f>SUM('3) Pre-Opening Budget'!E123:E137)</f>
        <v>40980</v>
      </c>
      <c r="E23" s="179">
        <f>SUM('8) Year 2 through 5 Budget'!E121:E135)</f>
        <v>223980</v>
      </c>
      <c r="F23" s="179">
        <f>SUM('8) Year 2 through 5 Budget'!F121:F135)</f>
        <v>238704</v>
      </c>
      <c r="G23" s="179">
        <f>SUM('8) Year 2 through 5 Budget'!G121:G135)</f>
        <v>227753.74999999994</v>
      </c>
      <c r="H23" s="179">
        <f>SUM('8) Year 2 through 5 Budget'!H121:H135)</f>
        <v>292340.88159999991</v>
      </c>
      <c r="I23" s="179">
        <f>SUM('8) Year 2 through 5 Budget'!I121:I135)</f>
        <v>312477.25705424987</v>
      </c>
      <c r="J23" s="10"/>
      <c r="K23" s="99"/>
    </row>
    <row r="24" spans="2:11" x14ac:dyDescent="0.35">
      <c r="B24" s="49"/>
      <c r="C24" s="97" t="s">
        <v>124</v>
      </c>
      <c r="D24" s="179">
        <f>SUM('3) Pre-Opening Budget'!E140:E154)</f>
        <v>12900</v>
      </c>
      <c r="E24" s="179">
        <f>SUM('8) Year 2 through 5 Budget'!E138:E152)</f>
        <v>85325</v>
      </c>
      <c r="F24" s="179">
        <f>SUM('8) Year 2 through 5 Budget'!F138:F152)</f>
        <v>107828.74999999999</v>
      </c>
      <c r="G24" s="179">
        <f>SUM('8) Year 2 through 5 Budget'!G138:G152)</f>
        <v>140801.53249999997</v>
      </c>
      <c r="H24" s="179">
        <f>SUM('8) Year 2 through 5 Budget'!H138:H152)</f>
        <v>176281.83760937492</v>
      </c>
      <c r="I24" s="179">
        <f>SUM('8) Year 2 through 5 Budget'!I138:I152)</f>
        <v>208708.84685731243</v>
      </c>
      <c r="J24" s="10"/>
      <c r="K24" s="99"/>
    </row>
    <row r="25" spans="2:11" x14ac:dyDescent="0.35">
      <c r="B25" s="49"/>
      <c r="C25" s="97" t="s">
        <v>159</v>
      </c>
      <c r="D25" s="179">
        <f>SUM('3) Pre-Opening Budget'!E157:E171)</f>
        <v>65500</v>
      </c>
      <c r="E25" s="179">
        <f>SUM('8) Year 2 through 5 Budget'!E155:E169)</f>
        <v>156000</v>
      </c>
      <c r="F25" s="179">
        <f>SUM('8) Year 2 through 5 Budget'!F155:F169)</f>
        <v>152611</v>
      </c>
      <c r="G25" s="179">
        <f>SUM('8) Year 2 through 5 Budget'!G155:G169)</f>
        <v>191428.16500000001</v>
      </c>
      <c r="H25" s="179">
        <f>SUM('8) Year 2 through 5 Budget'!H155:H169)</f>
        <v>230251.58747499998</v>
      </c>
      <c r="I25" s="179">
        <f>SUM('8) Year 2 through 5 Budget'!I155:I169)</f>
        <v>269081.36128712498</v>
      </c>
      <c r="J25" s="10"/>
      <c r="K25" s="99"/>
    </row>
    <row r="26" spans="2:11" x14ac:dyDescent="0.35">
      <c r="B26" s="49"/>
      <c r="C26" s="97" t="s">
        <v>125</v>
      </c>
      <c r="D26" s="179">
        <f>SUM('3) Pre-Opening Budget'!E174:E178)</f>
        <v>12000</v>
      </c>
      <c r="E26" s="179">
        <f>SUM('8) Year 2 through 5 Budget'!E172:E176)</f>
        <v>59187</v>
      </c>
      <c r="F26" s="179">
        <f>SUM('8) Year 2 through 5 Budget'!F172:F176)</f>
        <v>60074.804999999993</v>
      </c>
      <c r="G26" s="179">
        <f>SUM('8) Year 2 through 5 Budget'!G172:G176)</f>
        <v>60074.804999999993</v>
      </c>
      <c r="H26" s="179">
        <f>SUM('8) Year 2 through 5 Budget'!H172:H176)</f>
        <v>60074.804999999993</v>
      </c>
      <c r="I26" s="179">
        <f>SUM('8) Year 2 through 5 Budget'!I172:I176)</f>
        <v>60074.804999999993</v>
      </c>
      <c r="J26" s="10"/>
      <c r="K26" s="99"/>
    </row>
    <row r="27" spans="2:11" ht="15" thickBot="1" x14ac:dyDescent="0.4">
      <c r="B27" s="49"/>
      <c r="C27" s="97" t="s">
        <v>126</v>
      </c>
      <c r="D27" s="180">
        <f>SUM('3) Pre-Opening Budget'!E181:E185)</f>
        <v>0</v>
      </c>
      <c r="E27" s="180">
        <f>SUM('8) Year 2 through 5 Budget'!E179:E183)</f>
        <v>0</v>
      </c>
      <c r="F27" s="180">
        <f>SUM('8) Year 2 through 5 Budget'!F179:F183)</f>
        <v>0</v>
      </c>
      <c r="G27" s="180">
        <f>SUM('8) Year 2 through 5 Budget'!G179:G183)</f>
        <v>0</v>
      </c>
      <c r="H27" s="180">
        <f>SUM('8) Year 2 through 5 Budget'!H179:H183)</f>
        <v>0</v>
      </c>
      <c r="I27" s="180">
        <f>SUM('8) Year 2 through 5 Budget'!I179:I183)</f>
        <v>0</v>
      </c>
      <c r="J27" s="10"/>
      <c r="K27" s="99"/>
    </row>
    <row r="28" spans="2:11" ht="15" thickTop="1" x14ac:dyDescent="0.35">
      <c r="B28" s="49"/>
      <c r="C28" s="127" t="s">
        <v>132</v>
      </c>
      <c r="D28" s="179">
        <f t="shared" ref="D28:I28" si="1">SUM(D21:D27)</f>
        <v>256845.52499999999</v>
      </c>
      <c r="E28" s="179">
        <f t="shared" si="1"/>
        <v>1297375.3999999999</v>
      </c>
      <c r="F28" s="179">
        <f t="shared" si="1"/>
        <v>1719086.7374999998</v>
      </c>
      <c r="G28" s="179">
        <f t="shared" si="1"/>
        <v>2210223.6831875001</v>
      </c>
      <c r="H28" s="179">
        <f t="shared" si="1"/>
        <v>2818135.844120312</v>
      </c>
      <c r="I28" s="179">
        <f t="shared" si="1"/>
        <v>3282943.0026427493</v>
      </c>
      <c r="J28" s="10"/>
      <c r="K28" s="99"/>
    </row>
    <row r="29" spans="2:11" x14ac:dyDescent="0.35">
      <c r="B29" s="49"/>
      <c r="C29" s="103"/>
      <c r="D29" s="179"/>
      <c r="E29" s="179"/>
      <c r="F29" s="179"/>
      <c r="G29" s="179"/>
      <c r="H29" s="179"/>
      <c r="I29" s="179"/>
      <c r="J29" s="10"/>
      <c r="K29" s="99"/>
    </row>
    <row r="30" spans="2:11" x14ac:dyDescent="0.35">
      <c r="B30" s="49"/>
      <c r="C30" s="103" t="s">
        <v>207</v>
      </c>
      <c r="D30" s="179">
        <f t="shared" ref="D30:I30" si="2">D19-D28</f>
        <v>78154.475000000006</v>
      </c>
      <c r="E30" s="179">
        <f t="shared" si="2"/>
        <v>48584.600000000093</v>
      </c>
      <c r="F30" s="179">
        <f t="shared" si="2"/>
        <v>64927.159499999834</v>
      </c>
      <c r="G30" s="179">
        <f t="shared" si="2"/>
        <v>65229.790752499364</v>
      </c>
      <c r="H30" s="179">
        <f t="shared" si="2"/>
        <v>60237.00094106188</v>
      </c>
      <c r="I30" s="179">
        <f t="shared" si="2"/>
        <v>220197.12264200393</v>
      </c>
      <c r="J30" s="10"/>
      <c r="K30" s="99"/>
    </row>
    <row r="31" spans="2:11" x14ac:dyDescent="0.35">
      <c r="B31" s="49"/>
      <c r="C31" s="103"/>
      <c r="D31" s="179"/>
      <c r="E31" s="179"/>
      <c r="F31" s="179"/>
      <c r="G31" s="179"/>
      <c r="H31" s="179"/>
      <c r="I31" s="179"/>
      <c r="J31" s="10"/>
      <c r="K31" s="99"/>
    </row>
    <row r="32" spans="2:11" x14ac:dyDescent="0.35">
      <c r="B32" s="49"/>
      <c r="C32" s="127" t="s">
        <v>209</v>
      </c>
      <c r="D32" s="182">
        <f t="shared" ref="D32:I32" si="3">D13+D30</f>
        <v>78154.475000000006</v>
      </c>
      <c r="E32" s="182">
        <f t="shared" si="3"/>
        <v>126739.0750000001</v>
      </c>
      <c r="F32" s="182">
        <f t="shared" si="3"/>
        <v>191666.23449999993</v>
      </c>
      <c r="G32" s="182">
        <f t="shared" si="3"/>
        <v>256896.0252524993</v>
      </c>
      <c r="H32" s="182">
        <f t="shared" si="3"/>
        <v>317133.02619356115</v>
      </c>
      <c r="I32" s="182">
        <f t="shared" si="3"/>
        <v>537330.14883556508</v>
      </c>
      <c r="J32" s="10"/>
      <c r="K32" s="99"/>
    </row>
    <row r="33" spans="2:11" x14ac:dyDescent="0.35">
      <c r="B33" s="49"/>
      <c r="C33" s="10"/>
      <c r="D33" s="10"/>
      <c r="E33" s="10"/>
      <c r="F33" s="10"/>
      <c r="G33" s="10"/>
      <c r="H33" s="10"/>
      <c r="I33" s="10"/>
      <c r="J33" s="10"/>
      <c r="K33" s="99"/>
    </row>
    <row r="34" spans="2:11" x14ac:dyDescent="0.35">
      <c r="B34" s="49"/>
      <c r="C34" s="10"/>
      <c r="D34" s="10"/>
      <c r="E34" s="10"/>
      <c r="F34" s="10"/>
      <c r="G34" s="10"/>
      <c r="H34" s="10"/>
      <c r="I34" s="10"/>
      <c r="J34" s="10"/>
      <c r="K34" s="99"/>
    </row>
    <row r="35" spans="2:11" x14ac:dyDescent="0.35">
      <c r="B35" s="49"/>
      <c r="C35" s="10"/>
      <c r="D35" s="10"/>
      <c r="E35" s="10"/>
      <c r="F35" s="10"/>
      <c r="G35" s="10"/>
      <c r="H35" s="10"/>
      <c r="I35" s="10"/>
      <c r="J35" s="10"/>
      <c r="K35" s="99"/>
    </row>
    <row r="36" spans="2:11" x14ac:dyDescent="0.35">
      <c r="B36" s="49"/>
      <c r="C36" s="10"/>
      <c r="D36" s="10"/>
      <c r="E36" s="10"/>
      <c r="F36" s="10"/>
      <c r="G36" s="10"/>
      <c r="H36" s="10"/>
      <c r="I36" s="10"/>
      <c r="J36" s="10"/>
      <c r="K36" s="99"/>
    </row>
    <row r="37" spans="2:11" ht="15" thickBot="1" x14ac:dyDescent="0.4">
      <c r="B37" s="181"/>
      <c r="C37" s="23"/>
      <c r="D37" s="23"/>
      <c r="E37" s="23"/>
      <c r="F37" s="23"/>
      <c r="G37" s="23"/>
      <c r="H37" s="23"/>
      <c r="I37" s="23"/>
      <c r="J37" s="23"/>
      <c r="K37" s="134"/>
    </row>
    <row r="38" spans="2:11" x14ac:dyDescent="0.35">
      <c r="C38" s="10"/>
      <c r="D38" s="10"/>
      <c r="E38" s="10"/>
      <c r="F38" s="10"/>
      <c r="G38" s="10"/>
      <c r="H38" s="10"/>
      <c r="I38" s="10"/>
    </row>
    <row r="39" spans="2:11" x14ac:dyDescent="0.35">
      <c r="C39" s="10"/>
      <c r="D39" s="10"/>
      <c r="E39" s="10"/>
      <c r="F39" s="10"/>
      <c r="G39" s="10"/>
      <c r="H39" s="10"/>
      <c r="I39" s="10"/>
    </row>
    <row r="40" spans="2:11" x14ac:dyDescent="0.35">
      <c r="C40" s="10"/>
      <c r="D40" s="10"/>
      <c r="E40" s="10"/>
      <c r="F40" s="10"/>
      <c r="G40" s="10"/>
      <c r="H40" s="10"/>
      <c r="I40" s="10"/>
    </row>
    <row r="41" spans="2:11" x14ac:dyDescent="0.35">
      <c r="C41" s="10"/>
      <c r="D41" s="10"/>
      <c r="E41" s="10"/>
      <c r="F41" s="10"/>
      <c r="G41" s="10"/>
      <c r="H41" s="10"/>
      <c r="I41" s="10"/>
    </row>
  </sheetData>
  <sheetProtection algorithmName="SHA-512" hashValue="5TRiFuspMWwDSn4UGRdQtIzyp3PTQf8cDgCEdSkGviwRXCGtbKpUew1bu+B2EEH/6hSU+USAwCKkR9F0ZT3B3A==" saltValue="9orcZWlUglQFJE/KA+DLDg==" spinCount="100000" sheet="1" objects="1" scenarios="1" formatColumns="0" formatRows="0"/>
  <mergeCells count="4">
    <mergeCell ref="B3:K3"/>
    <mergeCell ref="B4:K4"/>
    <mergeCell ref="B5:K5"/>
    <mergeCell ref="B8:K8"/>
  </mergeCells>
  <pageMargins left="0.7" right="0.7" top="0.75" bottom="0.75" header="0.3" footer="0.3"/>
  <pageSetup scale="80" orientation="landscape" horizontalDpi="1200" verticalDpi="1200" r:id="rId1"/>
  <headerFooter>
    <oddFooter>&amp;L&amp;A&amp;RPage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B1:G43"/>
  <sheetViews>
    <sheetView showGridLines="0" topLeftCell="A16" zoomScaleNormal="100" zoomScaleSheetLayoutView="100" workbookViewId="0">
      <selection activeCell="D19" sqref="D19"/>
    </sheetView>
  </sheetViews>
  <sheetFormatPr defaultColWidth="8.7265625" defaultRowHeight="14.5" x14ac:dyDescent="0.35"/>
  <cols>
    <col min="1" max="1" width="8.7265625" style="5"/>
    <col min="2" max="3" width="4.7265625" style="5" customWidth="1"/>
    <col min="4" max="4" width="40.7265625" style="5" customWidth="1"/>
    <col min="5" max="5" width="40.453125" style="5" customWidth="1"/>
    <col min="6" max="7" width="4.7265625" style="5" customWidth="1"/>
    <col min="8" max="16384" width="8.7265625" style="5"/>
  </cols>
  <sheetData>
    <row r="1" spans="2:7" ht="15" thickBot="1" x14ac:dyDescent="0.4"/>
    <row r="2" spans="2:7" x14ac:dyDescent="0.35">
      <c r="B2" s="6"/>
      <c r="C2" s="7"/>
      <c r="D2" s="282"/>
      <c r="E2" s="282"/>
      <c r="F2" s="7"/>
      <c r="G2" s="8"/>
    </row>
    <row r="3" spans="2:7" x14ac:dyDescent="0.35">
      <c r="B3" s="9"/>
      <c r="C3" s="10"/>
      <c r="D3" s="283"/>
      <c r="E3" s="283"/>
      <c r="F3" s="10"/>
      <c r="G3" s="11"/>
    </row>
    <row r="4" spans="2:7" x14ac:dyDescent="0.35">
      <c r="B4" s="9"/>
      <c r="C4" s="10"/>
      <c r="D4" s="283"/>
      <c r="E4" s="283"/>
      <c r="F4" s="10"/>
      <c r="G4" s="11"/>
    </row>
    <row r="5" spans="2:7" ht="17.649999999999999" customHeight="1" x14ac:dyDescent="0.35">
      <c r="B5" s="9"/>
      <c r="C5" s="10"/>
      <c r="D5" s="283"/>
      <c r="E5" s="283"/>
      <c r="F5" s="10"/>
      <c r="G5" s="11"/>
    </row>
    <row r="6" spans="2:7" ht="18.5" x14ac:dyDescent="0.45">
      <c r="B6" s="9"/>
      <c r="C6" s="10"/>
      <c r="D6" s="289" t="s">
        <v>17</v>
      </c>
      <c r="E6" s="289"/>
      <c r="F6" s="10"/>
      <c r="G6" s="11"/>
    </row>
    <row r="7" spans="2:7" ht="18.5" x14ac:dyDescent="0.45">
      <c r="B7" s="9"/>
      <c r="C7" s="10"/>
      <c r="D7" s="289" t="s">
        <v>0</v>
      </c>
      <c r="E7" s="289"/>
      <c r="F7" s="12"/>
      <c r="G7" s="11"/>
    </row>
    <row r="8" spans="2:7" x14ac:dyDescent="0.35">
      <c r="B8" s="9"/>
      <c r="C8" s="10"/>
      <c r="D8" s="10"/>
      <c r="E8" s="10"/>
      <c r="F8" s="13"/>
      <c r="G8" s="11"/>
    </row>
    <row r="9" spans="2:7" x14ac:dyDescent="0.35">
      <c r="B9" s="9"/>
      <c r="C9" s="10"/>
      <c r="D9" s="284" t="s">
        <v>8</v>
      </c>
      <c r="E9" s="285"/>
      <c r="F9" s="10"/>
      <c r="G9" s="11"/>
    </row>
    <row r="10" spans="2:7" x14ac:dyDescent="0.35">
      <c r="B10" s="9"/>
      <c r="C10" s="10"/>
      <c r="D10" s="10"/>
      <c r="E10" s="10"/>
      <c r="F10" s="10"/>
      <c r="G10" s="11"/>
    </row>
    <row r="11" spans="2:7" ht="30" x14ac:dyDescent="0.35">
      <c r="B11" s="9"/>
      <c r="C11" s="10"/>
      <c r="D11" s="14" t="s">
        <v>12</v>
      </c>
      <c r="E11" s="15" t="s">
        <v>13</v>
      </c>
      <c r="F11" s="16"/>
      <c r="G11" s="11"/>
    </row>
    <row r="12" spans="2:7" ht="30" x14ac:dyDescent="0.35">
      <c r="B12" s="9"/>
      <c r="C12" s="10"/>
      <c r="D12" s="14" t="s">
        <v>59</v>
      </c>
      <c r="E12" s="15" t="s">
        <v>1</v>
      </c>
      <c r="F12" s="16"/>
      <c r="G12" s="11"/>
    </row>
    <row r="13" spans="2:7" ht="30" x14ac:dyDescent="0.35">
      <c r="B13" s="9"/>
      <c r="C13" s="10"/>
      <c r="D13" s="17" t="s">
        <v>175</v>
      </c>
      <c r="E13" s="15" t="s">
        <v>6</v>
      </c>
      <c r="F13" s="16"/>
      <c r="G13" s="11"/>
    </row>
    <row r="14" spans="2:7" ht="30" x14ac:dyDescent="0.35">
      <c r="B14" s="9"/>
      <c r="C14" s="10"/>
      <c r="D14" s="14" t="s">
        <v>176</v>
      </c>
      <c r="E14" s="15" t="s">
        <v>5</v>
      </c>
      <c r="F14" s="16"/>
      <c r="G14" s="11"/>
    </row>
    <row r="15" spans="2:7" ht="30" x14ac:dyDescent="0.35">
      <c r="B15" s="9"/>
      <c r="C15" s="10"/>
      <c r="D15" s="14" t="s">
        <v>199</v>
      </c>
      <c r="E15" s="15" t="s">
        <v>4</v>
      </c>
      <c r="F15" s="16"/>
      <c r="G15" s="11"/>
    </row>
    <row r="16" spans="2:7" ht="30" x14ac:dyDescent="0.35">
      <c r="B16" s="9"/>
      <c r="C16" s="10"/>
      <c r="D16" s="14" t="s">
        <v>3</v>
      </c>
      <c r="E16" s="15" t="s">
        <v>7</v>
      </c>
      <c r="F16" s="16"/>
      <c r="G16" s="11"/>
    </row>
    <row r="17" spans="2:7" ht="30" x14ac:dyDescent="0.35">
      <c r="B17" s="9"/>
      <c r="C17" s="10"/>
      <c r="D17" s="14" t="s">
        <v>2</v>
      </c>
      <c r="E17" s="15" t="s">
        <v>171</v>
      </c>
      <c r="F17" s="16"/>
      <c r="G17" s="11"/>
    </row>
    <row r="18" spans="2:7" ht="30" x14ac:dyDescent="0.35">
      <c r="B18" s="9"/>
      <c r="C18" s="10"/>
      <c r="D18" s="14" t="s">
        <v>200</v>
      </c>
      <c r="E18" s="15" t="s">
        <v>201</v>
      </c>
      <c r="F18" s="16"/>
      <c r="G18" s="11"/>
    </row>
    <row r="19" spans="2:7" ht="30" x14ac:dyDescent="0.35">
      <c r="B19" s="9"/>
      <c r="C19" s="10"/>
      <c r="D19" s="14" t="s">
        <v>226</v>
      </c>
      <c r="E19" s="15" t="s">
        <v>227</v>
      </c>
      <c r="F19" s="16"/>
      <c r="G19" s="11"/>
    </row>
    <row r="20" spans="2:7" x14ac:dyDescent="0.35">
      <c r="B20" s="9"/>
      <c r="C20" s="10"/>
      <c r="D20" s="10"/>
      <c r="E20" s="10"/>
      <c r="F20" s="10"/>
      <c r="G20" s="11"/>
    </row>
    <row r="21" spans="2:7" x14ac:dyDescent="0.35">
      <c r="B21" s="9"/>
      <c r="C21" s="10"/>
      <c r="D21" s="284" t="s">
        <v>9</v>
      </c>
      <c r="E21" s="285"/>
      <c r="F21" s="13"/>
      <c r="G21" s="11"/>
    </row>
    <row r="22" spans="2:7" ht="15" thickBot="1" x14ac:dyDescent="0.4">
      <c r="B22" s="9"/>
      <c r="C22" s="10"/>
      <c r="D22" s="10"/>
      <c r="E22" s="10"/>
      <c r="F22" s="10"/>
      <c r="G22" s="11"/>
    </row>
    <row r="23" spans="2:7" ht="15" thickBot="1" x14ac:dyDescent="0.4">
      <c r="B23" s="9"/>
      <c r="C23" s="18"/>
      <c r="D23" s="288" t="s">
        <v>195</v>
      </c>
      <c r="E23" s="283"/>
      <c r="F23" s="10"/>
      <c r="G23" s="11"/>
    </row>
    <row r="24" spans="2:7" ht="6.65" customHeight="1" thickBot="1" x14ac:dyDescent="0.4">
      <c r="B24" s="9"/>
      <c r="C24" s="10"/>
      <c r="D24" s="10"/>
      <c r="E24" s="10"/>
      <c r="F24" s="10"/>
      <c r="G24" s="11"/>
    </row>
    <row r="25" spans="2:7" s="33" customFormat="1" ht="15" thickBot="1" x14ac:dyDescent="0.4">
      <c r="B25" s="145"/>
      <c r="C25" s="146"/>
      <c r="D25" s="288" t="s">
        <v>196</v>
      </c>
      <c r="E25" s="283"/>
      <c r="F25" s="36"/>
      <c r="G25" s="38"/>
    </row>
    <row r="26" spans="2:7" ht="6.65" customHeight="1" thickBot="1" x14ac:dyDescent="0.4">
      <c r="B26" s="9"/>
      <c r="C26" s="10"/>
      <c r="D26" s="10"/>
      <c r="E26" s="10"/>
      <c r="F26" s="10"/>
      <c r="G26" s="11"/>
    </row>
    <row r="27" spans="2:7" ht="15" thickBot="1" x14ac:dyDescent="0.4">
      <c r="B27" s="9"/>
      <c r="C27" s="19"/>
      <c r="D27" s="288" t="s">
        <v>10</v>
      </c>
      <c r="E27" s="283"/>
      <c r="F27" s="10"/>
      <c r="G27" s="11"/>
    </row>
    <row r="28" spans="2:7" ht="7.4" customHeight="1" thickBot="1" x14ac:dyDescent="0.4">
      <c r="B28" s="9"/>
      <c r="C28" s="10"/>
      <c r="D28" s="10"/>
      <c r="E28" s="10"/>
      <c r="F28" s="10"/>
      <c r="G28" s="11"/>
    </row>
    <row r="29" spans="2:7" ht="15" thickBot="1" x14ac:dyDescent="0.4">
      <c r="B29" s="9"/>
      <c r="C29" s="20"/>
      <c r="D29" s="288" t="s">
        <v>11</v>
      </c>
      <c r="E29" s="283"/>
      <c r="F29" s="10"/>
      <c r="G29" s="11"/>
    </row>
    <row r="30" spans="2:7" x14ac:dyDescent="0.35">
      <c r="B30" s="9"/>
      <c r="C30" s="10"/>
      <c r="D30" s="10"/>
      <c r="E30" s="10"/>
      <c r="F30" s="10"/>
      <c r="G30" s="11"/>
    </row>
    <row r="31" spans="2:7" x14ac:dyDescent="0.35">
      <c r="B31" s="9"/>
      <c r="C31" s="10"/>
      <c r="D31" s="290" t="s">
        <v>228</v>
      </c>
      <c r="E31" s="291"/>
      <c r="F31" s="10"/>
      <c r="G31" s="11"/>
    </row>
    <row r="32" spans="2:7" x14ac:dyDescent="0.35">
      <c r="B32" s="9"/>
      <c r="C32" s="10"/>
      <c r="D32" s="291"/>
      <c r="E32" s="291"/>
      <c r="F32" s="10"/>
      <c r="G32" s="11"/>
    </row>
    <row r="33" spans="2:7" x14ac:dyDescent="0.35">
      <c r="B33" s="9"/>
      <c r="C33" s="10"/>
      <c r="D33" s="292"/>
      <c r="E33" s="292"/>
      <c r="F33" s="10"/>
      <c r="G33" s="11"/>
    </row>
    <row r="34" spans="2:7" x14ac:dyDescent="0.35">
      <c r="B34" s="9"/>
      <c r="C34" s="10"/>
      <c r="D34" s="10"/>
      <c r="E34" s="10"/>
      <c r="F34" s="10"/>
      <c r="G34" s="11"/>
    </row>
    <row r="35" spans="2:7" x14ac:dyDescent="0.35">
      <c r="B35" s="9"/>
      <c r="C35" s="10"/>
      <c r="D35" s="286" t="s">
        <v>170</v>
      </c>
      <c r="E35" s="286"/>
      <c r="F35" s="10"/>
      <c r="G35" s="11"/>
    </row>
    <row r="36" spans="2:7" x14ac:dyDescent="0.35">
      <c r="B36" s="9"/>
      <c r="C36" s="10"/>
      <c r="D36" s="21"/>
      <c r="E36" s="21"/>
      <c r="F36" s="10"/>
      <c r="G36" s="11"/>
    </row>
    <row r="37" spans="2:7" x14ac:dyDescent="0.35">
      <c r="B37" s="9"/>
      <c r="C37" s="10"/>
      <c r="D37" s="287"/>
      <c r="E37" s="287"/>
      <c r="F37" s="10"/>
      <c r="G37" s="11"/>
    </row>
    <row r="38" spans="2:7" x14ac:dyDescent="0.35">
      <c r="B38" s="9"/>
      <c r="C38" s="10"/>
      <c r="D38" s="287"/>
      <c r="E38" s="287"/>
      <c r="F38" s="10"/>
      <c r="G38" s="11"/>
    </row>
    <row r="39" spans="2:7" ht="18.649999999999999" customHeight="1" x14ac:dyDescent="0.35">
      <c r="B39" s="9"/>
      <c r="C39" s="10"/>
      <c r="D39" s="287"/>
      <c r="E39" s="287"/>
      <c r="F39" s="10"/>
      <c r="G39" s="11"/>
    </row>
    <row r="40" spans="2:7" x14ac:dyDescent="0.35">
      <c r="B40" s="9"/>
      <c r="C40" s="10"/>
      <c r="D40" s="10"/>
      <c r="E40" s="10"/>
      <c r="F40" s="10"/>
      <c r="G40" s="11"/>
    </row>
    <row r="41" spans="2:7" x14ac:dyDescent="0.35">
      <c r="B41" s="9"/>
      <c r="C41" s="10"/>
      <c r="D41" s="10"/>
      <c r="E41" s="10"/>
      <c r="F41" s="10"/>
      <c r="G41" s="11"/>
    </row>
    <row r="42" spans="2:7" x14ac:dyDescent="0.35">
      <c r="B42" s="9"/>
      <c r="C42" s="10"/>
      <c r="D42" s="10"/>
      <c r="E42" s="10"/>
      <c r="F42" s="10"/>
      <c r="G42" s="11"/>
    </row>
    <row r="43" spans="2:7" ht="15" thickBot="1" x14ac:dyDescent="0.4">
      <c r="B43" s="22"/>
      <c r="C43" s="23"/>
      <c r="D43" s="23"/>
      <c r="E43" s="23" t="s">
        <v>225</v>
      </c>
      <c r="F43" s="23"/>
      <c r="G43" s="24"/>
    </row>
  </sheetData>
  <sheetProtection password="A0DA" sheet="1" objects="1" scenarios="1"/>
  <mergeCells count="12">
    <mergeCell ref="D2:E5"/>
    <mergeCell ref="D9:E9"/>
    <mergeCell ref="D35:E35"/>
    <mergeCell ref="D37:E39"/>
    <mergeCell ref="D27:E27"/>
    <mergeCell ref="D29:E29"/>
    <mergeCell ref="D6:E6"/>
    <mergeCell ref="D7:E7"/>
    <mergeCell ref="D21:E21"/>
    <mergeCell ref="D23:E23"/>
    <mergeCell ref="D25:E25"/>
    <mergeCell ref="D31:E33"/>
  </mergeCells>
  <hyperlinks>
    <hyperlink ref="D11" location="'1) Proposed School Information'!A1" display="1) Proposed School Information" xr:uid="{00000000-0004-0000-0100-000000000000}"/>
    <hyperlink ref="D12" location="'2) Student Assumptions'!A1" display="2) Student Assumptions" xr:uid="{00000000-0004-0000-0100-000001000000}"/>
    <hyperlink ref="D16" location="'6) Year 1 Budget'!A1" display="6) Year 1 Budget" xr:uid="{00000000-0004-0000-0100-000002000000}"/>
    <hyperlink ref="D13" location="'3) Pre-Opening Budget'!A1" display="3) Pre-Opening Budget" xr:uid="{00000000-0004-0000-0100-000003000000}"/>
    <hyperlink ref="D14" location="'4) Pre-Opening Cash Flow'!A1" display="4) Pre-Opening Cash Flow" xr:uid="{00000000-0004-0000-0100-000004000000}"/>
    <hyperlink ref="D17" location="'7) Year 1 Cash Flow'!A1" display="7) Year 1 Cash Flow" xr:uid="{00000000-0004-0000-0100-000005000000}"/>
    <hyperlink ref="D18" location="'8) Year 2 through 10 Budget'!A1" display="8) Years 2 through 10 Budget" xr:uid="{00000000-0004-0000-0100-000006000000}"/>
    <hyperlink ref="D15" location="'5) Year 1-10 Staff Assumptions'!A1" display="5) Years 1-10 Staff Assumptions" xr:uid="{00000000-0004-0000-0100-000007000000}"/>
    <hyperlink ref="D19" location="'9) Summary'!A1" display="9) Summary" xr:uid="{00000000-0004-0000-0100-000008000000}"/>
  </hyperlinks>
  <pageMargins left="0.7" right="0.7" top="0.75" bottom="0.75" header="0.3" footer="0.3"/>
  <pageSetup scale="77" orientation="portrait" r:id="rId1"/>
  <headerFooter>
    <oddFooter>&amp;L&amp;A&amp;RPage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P27"/>
  <sheetViews>
    <sheetView showGridLines="0" topLeftCell="C1" workbookViewId="0">
      <selection activeCell="E13" sqref="E13:N13"/>
    </sheetView>
  </sheetViews>
  <sheetFormatPr defaultColWidth="8.7265625" defaultRowHeight="14.5" x14ac:dyDescent="0.35"/>
  <cols>
    <col min="1" max="1" width="8.7265625" style="5"/>
    <col min="2" max="3" width="4.7265625" style="5" customWidth="1"/>
    <col min="4" max="4" width="29.453125" style="5" customWidth="1"/>
    <col min="5" max="14" width="6.7265625" style="5" customWidth="1"/>
    <col min="15" max="16" width="4.7265625" style="5" customWidth="1"/>
    <col min="17" max="16384" width="8.7265625" style="5"/>
  </cols>
  <sheetData>
    <row r="1" spans="2:16" ht="15" thickBot="1" x14ac:dyDescent="0.4"/>
    <row r="2" spans="2:16" x14ac:dyDescent="0.35">
      <c r="B2" s="6"/>
      <c r="C2" s="7"/>
      <c r="D2" s="7"/>
      <c r="E2" s="7"/>
      <c r="F2" s="7"/>
      <c r="G2" s="7"/>
      <c r="H2" s="7"/>
      <c r="I2" s="7"/>
      <c r="J2" s="7"/>
      <c r="K2" s="7"/>
      <c r="L2" s="7"/>
      <c r="M2" s="7"/>
      <c r="N2" s="7"/>
      <c r="O2" s="7"/>
      <c r="P2" s="8"/>
    </row>
    <row r="3" spans="2:16" x14ac:dyDescent="0.35">
      <c r="B3" s="9"/>
      <c r="C3" s="10"/>
      <c r="D3" s="10"/>
      <c r="E3" s="10"/>
      <c r="F3" s="10"/>
      <c r="G3" s="10"/>
      <c r="H3" s="10"/>
      <c r="I3" s="10"/>
      <c r="J3" s="10"/>
      <c r="K3" s="10"/>
      <c r="L3" s="10"/>
      <c r="M3" s="10"/>
      <c r="N3" s="10"/>
      <c r="O3" s="10"/>
      <c r="P3" s="11"/>
    </row>
    <row r="4" spans="2:16" x14ac:dyDescent="0.35">
      <c r="B4" s="9"/>
      <c r="C4" s="10"/>
      <c r="D4" s="10"/>
      <c r="E4" s="10"/>
      <c r="F4" s="10"/>
      <c r="G4" s="10"/>
      <c r="H4" s="10"/>
      <c r="I4" s="10"/>
      <c r="J4" s="10"/>
      <c r="K4" s="10"/>
      <c r="L4" s="10"/>
      <c r="M4" s="10"/>
      <c r="N4" s="10"/>
      <c r="O4" s="10"/>
      <c r="P4" s="11"/>
    </row>
    <row r="5" spans="2:16" x14ac:dyDescent="0.35">
      <c r="B5" s="9"/>
      <c r="C5" s="10"/>
      <c r="D5" s="10"/>
      <c r="E5" s="10"/>
      <c r="F5" s="10"/>
      <c r="G5" s="10"/>
      <c r="H5" s="10"/>
      <c r="I5" s="10"/>
      <c r="J5" s="10"/>
      <c r="K5" s="10"/>
      <c r="L5" s="10"/>
      <c r="M5" s="10"/>
      <c r="N5" s="10"/>
      <c r="O5" s="10"/>
      <c r="P5" s="11"/>
    </row>
    <row r="6" spans="2:16" ht="18.5" x14ac:dyDescent="0.45">
      <c r="B6" s="9"/>
      <c r="C6" s="10"/>
      <c r="D6" s="289" t="str">
        <f>E12</f>
        <v>Luceo Collegiate School for the Arts Charter School</v>
      </c>
      <c r="E6" s="298"/>
      <c r="F6" s="299"/>
      <c r="G6" s="299"/>
      <c r="H6" s="299"/>
      <c r="I6" s="299"/>
      <c r="J6" s="299"/>
      <c r="K6" s="299"/>
      <c r="L6" s="299"/>
      <c r="M6" s="299"/>
      <c r="N6" s="299"/>
      <c r="O6" s="10"/>
      <c r="P6" s="11"/>
    </row>
    <row r="7" spans="2:16" ht="18.5" x14ac:dyDescent="0.45">
      <c r="B7" s="9"/>
      <c r="C7" s="10"/>
      <c r="D7" s="289" t="s">
        <v>16</v>
      </c>
      <c r="E7" s="298"/>
      <c r="F7" s="300"/>
      <c r="G7" s="300"/>
      <c r="H7" s="300"/>
      <c r="I7" s="300"/>
      <c r="J7" s="300"/>
      <c r="K7" s="300"/>
      <c r="L7" s="300"/>
      <c r="M7" s="300"/>
      <c r="N7" s="300"/>
      <c r="O7" s="25"/>
      <c r="P7" s="11"/>
    </row>
    <row r="8" spans="2:16" ht="18.5" x14ac:dyDescent="0.45">
      <c r="B8" s="9"/>
      <c r="C8" s="10"/>
      <c r="D8" s="289" t="s">
        <v>18</v>
      </c>
      <c r="E8" s="298"/>
      <c r="F8" s="299"/>
      <c r="G8" s="299"/>
      <c r="H8" s="299"/>
      <c r="I8" s="299"/>
      <c r="J8" s="299"/>
      <c r="K8" s="299"/>
      <c r="L8" s="299"/>
      <c r="M8" s="299"/>
      <c r="N8" s="299"/>
      <c r="O8" s="10"/>
      <c r="P8" s="11"/>
    </row>
    <row r="9" spans="2:16" ht="15" x14ac:dyDescent="0.35">
      <c r="B9" s="9"/>
      <c r="C9" s="10"/>
      <c r="D9" s="284"/>
      <c r="E9" s="285"/>
      <c r="F9" s="292"/>
      <c r="G9" s="292"/>
      <c r="H9" s="292"/>
      <c r="I9" s="292"/>
      <c r="J9" s="292"/>
      <c r="K9" s="292"/>
      <c r="L9" s="292"/>
      <c r="M9" s="292"/>
      <c r="N9" s="292"/>
      <c r="O9" s="10"/>
      <c r="P9" s="11"/>
    </row>
    <row r="10" spans="2:16" x14ac:dyDescent="0.35">
      <c r="B10" s="9"/>
      <c r="C10" s="10"/>
      <c r="D10" s="10"/>
      <c r="E10" s="10"/>
      <c r="F10" s="10"/>
      <c r="G10" s="10"/>
      <c r="H10" s="10"/>
      <c r="I10" s="10"/>
      <c r="J10" s="10"/>
      <c r="K10" s="10"/>
      <c r="L10" s="10"/>
      <c r="M10" s="10"/>
      <c r="N10" s="10"/>
      <c r="O10" s="10"/>
      <c r="P10" s="11"/>
    </row>
    <row r="11" spans="2:16" x14ac:dyDescent="0.35">
      <c r="B11" s="9"/>
      <c r="C11" s="10"/>
      <c r="D11" s="10"/>
      <c r="E11" s="10"/>
      <c r="F11" s="10"/>
      <c r="G11" s="10"/>
      <c r="H11" s="10"/>
      <c r="I11" s="10"/>
      <c r="J11" s="10"/>
      <c r="K11" s="10"/>
      <c r="L11" s="10"/>
      <c r="M11" s="10"/>
      <c r="N11" s="10"/>
      <c r="O11" s="10"/>
      <c r="P11" s="11"/>
    </row>
    <row r="12" spans="2:16" ht="15" x14ac:dyDescent="0.35">
      <c r="B12" s="9"/>
      <c r="C12" s="10"/>
      <c r="D12" s="10" t="s">
        <v>14</v>
      </c>
      <c r="E12" s="294" t="s">
        <v>530</v>
      </c>
      <c r="F12" s="295"/>
      <c r="G12" s="295"/>
      <c r="H12" s="295"/>
      <c r="I12" s="295"/>
      <c r="J12" s="295"/>
      <c r="K12" s="295"/>
      <c r="L12" s="295"/>
      <c r="M12" s="295"/>
      <c r="N12" s="295"/>
      <c r="O12" s="16"/>
      <c r="P12" s="11"/>
    </row>
    <row r="13" spans="2:16" ht="15" x14ac:dyDescent="0.35">
      <c r="B13" s="9"/>
      <c r="C13" s="10"/>
      <c r="D13" s="10" t="s">
        <v>172</v>
      </c>
      <c r="E13" s="294" t="s">
        <v>304</v>
      </c>
      <c r="F13" s="295"/>
      <c r="G13" s="295"/>
      <c r="H13" s="295"/>
      <c r="I13" s="295"/>
      <c r="J13" s="295"/>
      <c r="K13" s="295"/>
      <c r="L13" s="295"/>
      <c r="M13" s="295"/>
      <c r="N13" s="295"/>
      <c r="O13" s="16"/>
      <c r="P13" s="11"/>
    </row>
    <row r="14" spans="2:16" ht="15" x14ac:dyDescent="0.35">
      <c r="B14" s="9"/>
      <c r="C14" s="10"/>
      <c r="D14" s="10" t="s">
        <v>173</v>
      </c>
      <c r="E14" s="301" t="s">
        <v>305</v>
      </c>
      <c r="F14" s="295"/>
      <c r="G14" s="295"/>
      <c r="H14" s="295"/>
      <c r="I14" s="295"/>
      <c r="J14" s="295"/>
      <c r="K14" s="295"/>
      <c r="L14" s="295"/>
      <c r="M14" s="295"/>
      <c r="N14" s="295"/>
      <c r="O14" s="16"/>
      <c r="P14" s="11"/>
    </row>
    <row r="15" spans="2:16" ht="15" x14ac:dyDescent="0.35">
      <c r="B15" s="9"/>
      <c r="C15" s="10"/>
      <c r="D15" s="10" t="s">
        <v>174</v>
      </c>
      <c r="E15" s="294" t="s">
        <v>306</v>
      </c>
      <c r="F15" s="295"/>
      <c r="G15" s="295"/>
      <c r="H15" s="295"/>
      <c r="I15" s="295"/>
      <c r="J15" s="295"/>
      <c r="K15" s="295"/>
      <c r="L15" s="295"/>
      <c r="M15" s="295"/>
      <c r="N15" s="295"/>
      <c r="O15" s="16"/>
      <c r="P15" s="11"/>
    </row>
    <row r="16" spans="2:16" ht="15" x14ac:dyDescent="0.35">
      <c r="B16" s="9"/>
      <c r="C16" s="10"/>
      <c r="D16" s="10" t="s">
        <v>23</v>
      </c>
      <c r="E16" s="294" t="s">
        <v>327</v>
      </c>
      <c r="F16" s="295"/>
      <c r="G16" s="295"/>
      <c r="H16" s="295"/>
      <c r="I16" s="295"/>
      <c r="J16" s="295"/>
      <c r="K16" s="295"/>
      <c r="L16" s="295"/>
      <c r="M16" s="295"/>
      <c r="N16" s="295"/>
      <c r="O16" s="16"/>
      <c r="P16" s="11"/>
    </row>
    <row r="17" spans="2:16" ht="15" x14ac:dyDescent="0.35">
      <c r="B17" s="9"/>
      <c r="C17" s="10"/>
      <c r="D17" s="10"/>
      <c r="E17" s="16"/>
      <c r="F17" s="16"/>
      <c r="G17" s="16"/>
      <c r="H17" s="16"/>
      <c r="I17" s="16"/>
      <c r="J17" s="16"/>
      <c r="K17" s="16"/>
      <c r="L17" s="16"/>
      <c r="M17" s="16"/>
      <c r="N17" s="16"/>
      <c r="O17" s="16"/>
      <c r="P17" s="11"/>
    </row>
    <row r="18" spans="2:16" ht="15" x14ac:dyDescent="0.35">
      <c r="B18" s="9"/>
      <c r="C18" s="10"/>
      <c r="D18" s="10" t="s">
        <v>15</v>
      </c>
      <c r="E18" s="294" t="s">
        <v>307</v>
      </c>
      <c r="F18" s="295"/>
      <c r="G18" s="295"/>
      <c r="H18" s="295"/>
      <c r="I18" s="295"/>
      <c r="J18" s="295"/>
      <c r="K18" s="295"/>
      <c r="L18" s="295"/>
      <c r="M18" s="295"/>
      <c r="N18" s="295"/>
      <c r="O18" s="16"/>
      <c r="P18" s="11"/>
    </row>
    <row r="19" spans="2:16" ht="15" x14ac:dyDescent="0.35">
      <c r="B19" s="9"/>
      <c r="C19" s="10"/>
      <c r="D19" s="10" t="s">
        <v>20</v>
      </c>
      <c r="E19" s="294" t="s">
        <v>308</v>
      </c>
      <c r="F19" s="295"/>
      <c r="G19" s="295"/>
      <c r="H19" s="295"/>
      <c r="I19" s="295"/>
      <c r="J19" s="295"/>
      <c r="K19" s="295"/>
      <c r="L19" s="295"/>
      <c r="M19" s="295"/>
      <c r="N19" s="295"/>
      <c r="O19" s="16"/>
      <c r="P19" s="11"/>
    </row>
    <row r="20" spans="2:16" ht="15" x14ac:dyDescent="0.35">
      <c r="B20" s="9"/>
      <c r="C20" s="10"/>
      <c r="D20" s="10" t="s">
        <v>21</v>
      </c>
      <c r="E20" s="294" t="s">
        <v>354</v>
      </c>
      <c r="F20" s="295"/>
      <c r="G20" s="295"/>
      <c r="H20" s="295"/>
      <c r="I20" s="295"/>
      <c r="J20" s="295"/>
      <c r="K20" s="295"/>
      <c r="L20" s="295"/>
      <c r="M20" s="295"/>
      <c r="N20" s="295"/>
      <c r="O20" s="16"/>
      <c r="P20" s="11"/>
    </row>
    <row r="21" spans="2:16" ht="15" x14ac:dyDescent="0.35">
      <c r="B21" s="9"/>
      <c r="C21" s="10"/>
      <c r="D21" s="10" t="s">
        <v>19</v>
      </c>
      <c r="E21" s="296" t="s">
        <v>29</v>
      </c>
      <c r="F21" s="297"/>
      <c r="G21" s="297"/>
      <c r="H21" s="297"/>
      <c r="I21" s="297"/>
      <c r="J21" s="297"/>
      <c r="K21" s="297"/>
      <c r="L21" s="297"/>
      <c r="M21" s="297"/>
      <c r="N21" s="297"/>
      <c r="O21" s="16"/>
      <c r="P21" s="11"/>
    </row>
    <row r="22" spans="2:16" ht="15" x14ac:dyDescent="0.35">
      <c r="B22" s="9"/>
      <c r="C22" s="10"/>
      <c r="D22" s="10"/>
      <c r="E22" s="10"/>
      <c r="F22" s="10"/>
      <c r="G22" s="10"/>
      <c r="H22" s="10"/>
      <c r="I22" s="10"/>
      <c r="J22" s="10"/>
      <c r="K22" s="10"/>
      <c r="L22" s="10"/>
      <c r="M22" s="10"/>
      <c r="N22" s="10"/>
      <c r="O22" s="16"/>
      <c r="P22" s="11"/>
    </row>
    <row r="23" spans="2:16" ht="15" x14ac:dyDescent="0.35">
      <c r="B23" s="9"/>
      <c r="C23" s="10"/>
      <c r="D23" s="10"/>
      <c r="E23" s="98" t="s">
        <v>47</v>
      </c>
      <c r="F23" s="98" t="s">
        <v>48</v>
      </c>
      <c r="G23" s="98" t="s">
        <v>49</v>
      </c>
      <c r="H23" s="98" t="s">
        <v>50</v>
      </c>
      <c r="I23" s="98" t="s">
        <v>51</v>
      </c>
      <c r="J23" s="154"/>
      <c r="K23" s="154"/>
      <c r="L23" s="154"/>
      <c r="M23" s="154"/>
      <c r="N23" s="154"/>
      <c r="O23" s="16"/>
      <c r="P23" s="11"/>
    </row>
    <row r="24" spans="2:16" x14ac:dyDescent="0.35">
      <c r="B24" s="9"/>
      <c r="C24" s="10"/>
      <c r="D24" s="10" t="s">
        <v>188</v>
      </c>
      <c r="E24" s="147">
        <f>'2) Student Assumptions'!E29</f>
        <v>120</v>
      </c>
      <c r="F24" s="147">
        <f>'2) Student Assumptions'!F29</f>
        <v>180</v>
      </c>
      <c r="G24" s="147">
        <f>'2) Student Assumptions'!G29</f>
        <v>240</v>
      </c>
      <c r="H24" s="147">
        <f>'2) Student Assumptions'!H29</f>
        <v>300</v>
      </c>
      <c r="I24" s="147">
        <f>'2) Student Assumptions'!I29</f>
        <v>360</v>
      </c>
      <c r="J24" s="74"/>
      <c r="K24" s="74"/>
      <c r="L24" s="74"/>
      <c r="M24" s="74"/>
      <c r="N24" s="74"/>
      <c r="O24" s="10"/>
      <c r="P24" s="11"/>
    </row>
    <row r="25" spans="2:16" ht="14.65" customHeight="1" x14ac:dyDescent="0.35">
      <c r="B25" s="9"/>
      <c r="C25" s="10"/>
      <c r="D25" s="10"/>
      <c r="E25" s="284" t="s">
        <v>197</v>
      </c>
      <c r="F25" s="285"/>
      <c r="G25" s="293"/>
      <c r="H25" s="293"/>
      <c r="I25" s="293"/>
      <c r="J25" s="293"/>
      <c r="K25" s="293"/>
      <c r="L25" s="293"/>
      <c r="M25" s="293"/>
      <c r="N25" s="293"/>
      <c r="O25" s="10"/>
      <c r="P25" s="11"/>
    </row>
    <row r="26" spans="2:16" x14ac:dyDescent="0.35">
      <c r="B26" s="9"/>
      <c r="C26" s="10"/>
      <c r="D26" s="10"/>
      <c r="E26" s="10"/>
      <c r="F26" s="10"/>
      <c r="G26" s="10"/>
      <c r="H26" s="10"/>
      <c r="I26" s="10"/>
      <c r="J26" s="10"/>
      <c r="K26" s="10"/>
      <c r="L26" s="10"/>
      <c r="M26" s="10"/>
      <c r="N26" s="10"/>
      <c r="O26" s="10"/>
      <c r="P26" s="11"/>
    </row>
    <row r="27" spans="2:16" ht="15" thickBot="1" x14ac:dyDescent="0.4">
      <c r="B27" s="22"/>
      <c r="C27" s="23"/>
      <c r="D27" s="23"/>
      <c r="E27" s="23"/>
      <c r="F27" s="23"/>
      <c r="G27" s="23"/>
      <c r="H27" s="23"/>
      <c r="I27" s="23"/>
      <c r="J27" s="23"/>
      <c r="K27" s="23"/>
      <c r="L27" s="23"/>
      <c r="M27" s="23"/>
      <c r="N27" s="23"/>
      <c r="O27" s="23"/>
      <c r="P27" s="24"/>
    </row>
  </sheetData>
  <sheetProtection password="A0DA" sheet="1" objects="1" scenarios="1" formatColumns="0" formatRows="0"/>
  <mergeCells count="14">
    <mergeCell ref="E25:N25"/>
    <mergeCell ref="E20:N20"/>
    <mergeCell ref="E21:N21"/>
    <mergeCell ref="D6:N6"/>
    <mergeCell ref="D7:N7"/>
    <mergeCell ref="D8:N8"/>
    <mergeCell ref="E14:N14"/>
    <mergeCell ref="E15:N15"/>
    <mergeCell ref="E16:N16"/>
    <mergeCell ref="E18:N18"/>
    <mergeCell ref="E19:N19"/>
    <mergeCell ref="E12:N12"/>
    <mergeCell ref="E13:N13"/>
    <mergeCell ref="D9:N9"/>
  </mergeCells>
  <pageMargins left="0.7" right="0.7" top="0.75" bottom="0.75" header="0.3" footer="0.3"/>
  <pageSetup scale="97" orientation="landscape" r:id="rId1"/>
  <headerFoot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Source!$A$8:$A$21</xm:f>
          </x14:formula1>
          <xm:sqref>E21:N21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P78"/>
  <sheetViews>
    <sheetView showGridLines="0" zoomScale="75" zoomScaleNormal="75" zoomScaleSheetLayoutView="100" workbookViewId="0">
      <selection activeCell="A83" sqref="A83"/>
    </sheetView>
  </sheetViews>
  <sheetFormatPr defaultColWidth="8.7265625" defaultRowHeight="14.5" x14ac:dyDescent="0.35"/>
  <cols>
    <col min="1" max="1" width="4.7265625" style="5" customWidth="1"/>
    <col min="2" max="2" width="28.54296875" style="5" customWidth="1"/>
    <col min="3" max="3" width="3" style="5" customWidth="1"/>
    <col min="4" max="4" width="3.453125" style="5" customWidth="1"/>
    <col min="5" max="9" width="11.1796875" style="5" customWidth="1"/>
    <col min="10" max="10" width="9.7265625" style="5" customWidth="1"/>
    <col min="11" max="14" width="9.7265625" style="5" hidden="1" customWidth="1"/>
    <col min="15" max="15" width="4.7265625" style="5" hidden="1" customWidth="1"/>
    <col min="16" max="17" width="4.7265625" style="5" customWidth="1"/>
    <col min="18" max="16384" width="8.7265625" style="5"/>
  </cols>
  <sheetData>
    <row r="1" spans="1:16" ht="15" thickBot="1" x14ac:dyDescent="0.4"/>
    <row r="2" spans="1:16" x14ac:dyDescent="0.35">
      <c r="B2" s="6"/>
      <c r="C2" s="7"/>
      <c r="D2" s="7"/>
      <c r="E2" s="7"/>
      <c r="F2" s="7"/>
      <c r="G2" s="7"/>
      <c r="H2" s="7"/>
      <c r="I2" s="7"/>
      <c r="J2" s="7"/>
      <c r="K2" s="7"/>
      <c r="L2" s="7"/>
      <c r="M2" s="7"/>
      <c r="N2" s="7"/>
      <c r="O2" s="7"/>
      <c r="P2" s="8"/>
    </row>
    <row r="3" spans="1:16" ht="18.5" x14ac:dyDescent="0.45">
      <c r="B3" s="9"/>
      <c r="C3" s="10"/>
      <c r="D3" s="10"/>
      <c r="E3" s="289" t="str">
        <f>'1) Proposed School Information'!E12</f>
        <v>Luceo Collegiate School for the Arts Charter School</v>
      </c>
      <c r="F3" s="289"/>
      <c r="G3" s="287"/>
      <c r="H3" s="287"/>
      <c r="I3" s="287"/>
      <c r="J3" s="287"/>
      <c r="K3" s="287"/>
      <c r="L3" s="287"/>
      <c r="M3" s="287"/>
      <c r="N3" s="287"/>
      <c r="O3" s="10"/>
      <c r="P3" s="11"/>
    </row>
    <row r="4" spans="1:16" ht="18.5" x14ac:dyDescent="0.45">
      <c r="B4" s="9"/>
      <c r="C4" s="10"/>
      <c r="D4" s="10"/>
      <c r="E4" s="289" t="s">
        <v>17</v>
      </c>
      <c r="F4" s="289"/>
      <c r="G4" s="287"/>
      <c r="H4" s="287"/>
      <c r="I4" s="287"/>
      <c r="J4" s="287"/>
      <c r="K4" s="287"/>
      <c r="L4" s="287"/>
      <c r="M4" s="287"/>
      <c r="N4" s="287"/>
      <c r="O4" s="10"/>
      <c r="P4" s="11"/>
    </row>
    <row r="5" spans="1:16" ht="18.5" x14ac:dyDescent="0.45">
      <c r="B5" s="9"/>
      <c r="C5" s="10"/>
      <c r="D5" s="10"/>
      <c r="E5" s="289" t="s">
        <v>60</v>
      </c>
      <c r="F5" s="289"/>
      <c r="G5" s="287"/>
      <c r="H5" s="287"/>
      <c r="I5" s="287"/>
      <c r="J5" s="287"/>
      <c r="K5" s="287"/>
      <c r="L5" s="287"/>
      <c r="M5" s="287"/>
      <c r="N5" s="287"/>
      <c r="O5" s="10"/>
      <c r="P5" s="11"/>
    </row>
    <row r="6" spans="1:16" x14ac:dyDescent="0.35">
      <c r="B6" s="9"/>
      <c r="C6" s="10"/>
      <c r="D6" s="10"/>
      <c r="E6" s="10"/>
      <c r="F6" s="10"/>
      <c r="G6" s="10"/>
      <c r="H6" s="10"/>
      <c r="I6" s="10"/>
      <c r="J6" s="10"/>
      <c r="K6" s="10"/>
      <c r="L6" s="10"/>
      <c r="M6" s="10"/>
      <c r="N6" s="10"/>
      <c r="O6" s="10"/>
      <c r="P6" s="11"/>
    </row>
    <row r="7" spans="1:16" x14ac:dyDescent="0.35">
      <c r="B7" s="9"/>
      <c r="C7" s="10"/>
      <c r="D7" s="10"/>
      <c r="E7" s="10"/>
      <c r="F7" s="10"/>
      <c r="G7" s="10"/>
      <c r="H7" s="10"/>
      <c r="I7" s="10"/>
      <c r="J7" s="10"/>
      <c r="K7" s="10"/>
      <c r="L7" s="10"/>
      <c r="M7" s="10"/>
      <c r="N7" s="10"/>
      <c r="O7" s="10"/>
      <c r="P7" s="11"/>
    </row>
    <row r="8" spans="1:16" x14ac:dyDescent="0.35">
      <c r="B8" s="9"/>
      <c r="C8" s="10"/>
      <c r="D8" s="10"/>
      <c r="E8" s="284" t="s">
        <v>58</v>
      </c>
      <c r="F8" s="285"/>
      <c r="G8" s="293"/>
      <c r="H8" s="293"/>
      <c r="I8" s="293"/>
      <c r="J8" s="293"/>
      <c r="K8" s="293"/>
      <c r="L8" s="293"/>
      <c r="M8" s="293"/>
      <c r="N8" s="293"/>
      <c r="O8" s="10"/>
      <c r="P8" s="11"/>
    </row>
    <row r="9" spans="1:16" x14ac:dyDescent="0.35">
      <c r="B9" s="9"/>
      <c r="C9" s="10"/>
      <c r="D9" s="10"/>
      <c r="E9" s="10"/>
      <c r="F9" s="10"/>
      <c r="G9" s="10"/>
      <c r="H9" s="10"/>
      <c r="I9" s="10"/>
      <c r="J9" s="10"/>
      <c r="K9" s="10"/>
      <c r="L9" s="10"/>
      <c r="M9" s="10"/>
      <c r="N9" s="10"/>
      <c r="O9" s="10"/>
      <c r="P9" s="11"/>
    </row>
    <row r="10" spans="1:16" x14ac:dyDescent="0.35">
      <c r="A10" s="26"/>
      <c r="B10" s="27"/>
      <c r="C10" s="28"/>
      <c r="D10" s="1"/>
      <c r="E10" s="29" t="s">
        <v>47</v>
      </c>
      <c r="F10" s="29" t="s">
        <v>48</v>
      </c>
      <c r="G10" s="29" t="s">
        <v>49</v>
      </c>
      <c r="H10" s="29" t="s">
        <v>50</v>
      </c>
      <c r="I10" s="29" t="s">
        <v>51</v>
      </c>
      <c r="J10" s="57"/>
      <c r="K10" s="57"/>
      <c r="L10" s="57"/>
      <c r="M10" s="57"/>
      <c r="N10" s="57"/>
      <c r="O10" s="10"/>
      <c r="P10" s="11"/>
    </row>
    <row r="11" spans="1:16" x14ac:dyDescent="0.35">
      <c r="A11" s="26"/>
      <c r="B11" s="27"/>
      <c r="C11" s="28"/>
      <c r="D11" s="1"/>
      <c r="E11" s="29" t="str">
        <f>IF('1) Proposed School Information'!E21="Select Year"," ",'1) Proposed School Information'!E21)</f>
        <v>2021-22</v>
      </c>
      <c r="F11" s="29" t="str">
        <f>IF(E11=" "," ",VLOOKUP(E11,Source!$A$8:$B$21,2,FALSE))</f>
        <v>2022-23</v>
      </c>
      <c r="G11" s="29" t="str">
        <f>IF(F11=" "," ",VLOOKUP(F11,Source!$A$8:$B$21,2,FALSE))</f>
        <v>2023-24</v>
      </c>
      <c r="H11" s="29" t="str">
        <f>IF(G11=" "," ",VLOOKUP(G11,Source!$A$8:$B$21,2,FALSE))</f>
        <v>2024-25</v>
      </c>
      <c r="I11" s="29" t="str">
        <f>IF(H11=" "," ",VLOOKUP(H11,Source!$A$8:$B$21,2,FALSE))</f>
        <v>2026-27</v>
      </c>
      <c r="J11" s="57"/>
      <c r="K11" s="57"/>
      <c r="L11" s="57"/>
      <c r="M11" s="57"/>
      <c r="N11" s="57"/>
      <c r="O11" s="10"/>
      <c r="P11" s="11"/>
    </row>
    <row r="12" spans="1:16" x14ac:dyDescent="0.35">
      <c r="A12" s="26"/>
      <c r="B12" s="27"/>
      <c r="C12" s="28"/>
      <c r="D12" s="28"/>
      <c r="E12" s="30"/>
      <c r="F12" s="30"/>
      <c r="G12" s="30"/>
      <c r="H12" s="30"/>
      <c r="I12" s="30"/>
      <c r="J12" s="76"/>
      <c r="K12" s="76"/>
      <c r="L12" s="76"/>
      <c r="M12" s="76"/>
      <c r="N12" s="76"/>
      <c r="O12" s="10"/>
      <c r="P12" s="11"/>
    </row>
    <row r="13" spans="1:16" ht="29" x14ac:dyDescent="0.35">
      <c r="B13" s="31" t="s">
        <v>56</v>
      </c>
      <c r="C13" s="28"/>
      <c r="D13" s="28"/>
      <c r="E13" s="53">
        <v>0</v>
      </c>
      <c r="F13" s="53">
        <v>0</v>
      </c>
      <c r="G13" s="53">
        <v>0</v>
      </c>
      <c r="H13" s="53">
        <v>0</v>
      </c>
      <c r="I13" s="53">
        <v>0</v>
      </c>
      <c r="J13" s="155"/>
      <c r="K13" s="155"/>
      <c r="L13" s="155"/>
      <c r="M13" s="155"/>
      <c r="N13" s="155"/>
      <c r="O13" s="10"/>
      <c r="P13" s="11"/>
    </row>
    <row r="14" spans="1:16" x14ac:dyDescent="0.35">
      <c r="B14" s="27"/>
      <c r="C14" s="28"/>
      <c r="D14" s="28"/>
      <c r="E14" s="30"/>
      <c r="F14" s="30"/>
      <c r="G14" s="30"/>
      <c r="H14" s="30"/>
      <c r="I14" s="30"/>
      <c r="J14" s="76"/>
      <c r="K14" s="76"/>
      <c r="L14" s="76"/>
      <c r="M14" s="76"/>
      <c r="N14" s="76"/>
      <c r="O14" s="10"/>
      <c r="P14" s="11"/>
    </row>
    <row r="15" spans="1:16" x14ac:dyDescent="0.35">
      <c r="B15" s="32" t="s">
        <v>33</v>
      </c>
      <c r="C15" s="28"/>
      <c r="D15" s="10"/>
      <c r="E15" s="53">
        <v>60</v>
      </c>
      <c r="F15" s="53">
        <v>60</v>
      </c>
      <c r="G15" s="53">
        <v>60</v>
      </c>
      <c r="H15" s="53">
        <v>60</v>
      </c>
      <c r="I15" s="53">
        <v>60</v>
      </c>
      <c r="J15" s="155"/>
      <c r="K15" s="155"/>
      <c r="L15" s="155"/>
      <c r="M15" s="155"/>
      <c r="N15" s="155"/>
      <c r="O15" s="10"/>
      <c r="P15" s="11"/>
    </row>
    <row r="16" spans="1:16" x14ac:dyDescent="0.35">
      <c r="B16" s="32" t="s">
        <v>34</v>
      </c>
      <c r="C16" s="28"/>
      <c r="D16" s="10"/>
      <c r="E16" s="53">
        <v>60</v>
      </c>
      <c r="F16" s="53">
        <v>60</v>
      </c>
      <c r="G16" s="53">
        <v>60</v>
      </c>
      <c r="H16" s="53">
        <v>60</v>
      </c>
      <c r="I16" s="53">
        <v>60</v>
      </c>
      <c r="J16" s="155"/>
      <c r="K16" s="155"/>
      <c r="L16" s="155"/>
      <c r="M16" s="155"/>
      <c r="N16" s="155"/>
      <c r="O16" s="10"/>
      <c r="P16" s="11"/>
    </row>
    <row r="17" spans="1:16" x14ac:dyDescent="0.35">
      <c r="B17" s="32" t="s">
        <v>35</v>
      </c>
      <c r="C17" s="28"/>
      <c r="D17" s="10"/>
      <c r="E17" s="53">
        <v>0</v>
      </c>
      <c r="F17" s="53">
        <v>60</v>
      </c>
      <c r="G17" s="53">
        <v>60</v>
      </c>
      <c r="H17" s="53">
        <v>60</v>
      </c>
      <c r="I17" s="53">
        <v>60</v>
      </c>
      <c r="J17" s="155"/>
      <c r="K17" s="155"/>
      <c r="L17" s="155"/>
      <c r="M17" s="155"/>
      <c r="N17" s="155"/>
      <c r="O17" s="10"/>
      <c r="P17" s="11"/>
    </row>
    <row r="18" spans="1:16" x14ac:dyDescent="0.35">
      <c r="B18" s="32" t="s">
        <v>36</v>
      </c>
      <c r="C18" s="28"/>
      <c r="D18" s="10"/>
      <c r="E18" s="53">
        <v>0</v>
      </c>
      <c r="F18" s="53">
        <v>0</v>
      </c>
      <c r="G18" s="53">
        <v>60</v>
      </c>
      <c r="H18" s="53">
        <v>60</v>
      </c>
      <c r="I18" s="53">
        <v>60</v>
      </c>
      <c r="J18" s="155"/>
      <c r="K18" s="155"/>
      <c r="L18" s="155"/>
      <c r="M18" s="155"/>
      <c r="N18" s="155"/>
      <c r="O18" s="10"/>
      <c r="P18" s="11"/>
    </row>
    <row r="19" spans="1:16" x14ac:dyDescent="0.35">
      <c r="B19" s="32" t="s">
        <v>37</v>
      </c>
      <c r="C19" s="28"/>
      <c r="D19" s="10"/>
      <c r="E19" s="53">
        <v>0</v>
      </c>
      <c r="F19" s="53">
        <v>0</v>
      </c>
      <c r="G19" s="53">
        <v>0</v>
      </c>
      <c r="H19" s="53">
        <v>60</v>
      </c>
      <c r="I19" s="53">
        <v>60</v>
      </c>
      <c r="J19" s="155"/>
      <c r="K19" s="155"/>
      <c r="L19" s="155"/>
      <c r="M19" s="155"/>
      <c r="N19" s="155"/>
      <c r="O19" s="10"/>
      <c r="P19" s="11"/>
    </row>
    <row r="20" spans="1:16" x14ac:dyDescent="0.35">
      <c r="B20" s="32" t="s">
        <v>38</v>
      </c>
      <c r="C20" s="28"/>
      <c r="D20" s="10"/>
      <c r="E20" s="53">
        <v>0</v>
      </c>
      <c r="F20" s="53">
        <v>0</v>
      </c>
      <c r="G20" s="53">
        <v>0</v>
      </c>
      <c r="H20" s="53">
        <v>0</v>
      </c>
      <c r="I20" s="53">
        <v>60</v>
      </c>
      <c r="J20" s="155"/>
      <c r="K20" s="155"/>
      <c r="L20" s="155"/>
      <c r="M20" s="155"/>
      <c r="N20" s="155"/>
      <c r="O20" s="10"/>
      <c r="P20" s="11"/>
    </row>
    <row r="21" spans="1:16" x14ac:dyDescent="0.35">
      <c r="B21" s="32" t="s">
        <v>39</v>
      </c>
      <c r="C21" s="28"/>
      <c r="D21" s="10"/>
      <c r="E21" s="53">
        <v>0</v>
      </c>
      <c r="F21" s="53">
        <v>0</v>
      </c>
      <c r="G21" s="53">
        <v>0</v>
      </c>
      <c r="H21" s="53">
        <v>0</v>
      </c>
      <c r="I21" s="53">
        <v>0</v>
      </c>
      <c r="J21" s="155"/>
      <c r="K21" s="155"/>
      <c r="L21" s="155"/>
      <c r="M21" s="155"/>
      <c r="N21" s="155"/>
      <c r="O21" s="10"/>
      <c r="P21" s="11"/>
    </row>
    <row r="22" spans="1:16" x14ac:dyDescent="0.35">
      <c r="B22" s="32" t="s">
        <v>40</v>
      </c>
      <c r="C22" s="28"/>
      <c r="D22" s="10"/>
      <c r="E22" s="53">
        <v>0</v>
      </c>
      <c r="F22" s="53">
        <v>0</v>
      </c>
      <c r="G22" s="53">
        <v>0</v>
      </c>
      <c r="H22" s="53">
        <v>0</v>
      </c>
      <c r="I22" s="53">
        <v>0</v>
      </c>
      <c r="J22" s="155"/>
      <c r="K22" s="155"/>
      <c r="L22" s="155"/>
      <c r="M22" s="155"/>
      <c r="N22" s="155"/>
      <c r="O22" s="10"/>
      <c r="P22" s="11"/>
    </row>
    <row r="23" spans="1:16" x14ac:dyDescent="0.35">
      <c r="B23" s="32" t="s">
        <v>41</v>
      </c>
      <c r="C23" s="28"/>
      <c r="D23" s="10"/>
      <c r="E23" s="53">
        <v>0</v>
      </c>
      <c r="F23" s="53">
        <v>0</v>
      </c>
      <c r="G23" s="53">
        <v>0</v>
      </c>
      <c r="H23" s="53">
        <v>0</v>
      </c>
      <c r="I23" s="53">
        <v>0</v>
      </c>
      <c r="J23" s="155"/>
      <c r="K23" s="155"/>
      <c r="L23" s="155"/>
      <c r="M23" s="155"/>
      <c r="N23" s="155"/>
      <c r="O23" s="10"/>
      <c r="P23" s="11"/>
    </row>
    <row r="24" spans="1:16" x14ac:dyDescent="0.35">
      <c r="B24" s="32" t="s">
        <v>52</v>
      </c>
      <c r="C24" s="28"/>
      <c r="D24" s="10"/>
      <c r="E24" s="53">
        <v>0</v>
      </c>
      <c r="F24" s="53">
        <v>0</v>
      </c>
      <c r="G24" s="53">
        <v>0</v>
      </c>
      <c r="H24" s="53">
        <v>0</v>
      </c>
      <c r="I24" s="53">
        <v>0</v>
      </c>
      <c r="J24" s="155"/>
      <c r="K24" s="155"/>
      <c r="L24" s="155"/>
      <c r="M24" s="155"/>
      <c r="N24" s="155"/>
      <c r="O24" s="10"/>
      <c r="P24" s="11"/>
    </row>
    <row r="25" spans="1:16" x14ac:dyDescent="0.35">
      <c r="B25" s="32" t="s">
        <v>53</v>
      </c>
      <c r="C25" s="28"/>
      <c r="D25" s="10"/>
      <c r="E25" s="53">
        <v>0</v>
      </c>
      <c r="F25" s="53">
        <v>0</v>
      </c>
      <c r="G25" s="53">
        <v>0</v>
      </c>
      <c r="H25" s="53">
        <v>0</v>
      </c>
      <c r="I25" s="53">
        <v>0</v>
      </c>
      <c r="J25" s="155"/>
      <c r="K25" s="155"/>
      <c r="L25" s="155"/>
      <c r="M25" s="155"/>
      <c r="N25" s="155"/>
      <c r="O25" s="10"/>
      <c r="P25" s="11"/>
    </row>
    <row r="26" spans="1:16" x14ac:dyDescent="0.35">
      <c r="B26" s="32" t="s">
        <v>54</v>
      </c>
      <c r="C26" s="28"/>
      <c r="D26" s="10"/>
      <c r="E26" s="53">
        <v>0</v>
      </c>
      <c r="F26" s="53">
        <v>0</v>
      </c>
      <c r="G26" s="53">
        <v>0</v>
      </c>
      <c r="H26" s="53">
        <v>0</v>
      </c>
      <c r="I26" s="53">
        <v>0</v>
      </c>
      <c r="J26" s="155"/>
      <c r="K26" s="155"/>
      <c r="L26" s="155"/>
      <c r="M26" s="155"/>
      <c r="N26" s="155"/>
      <c r="O26" s="10"/>
      <c r="P26" s="11"/>
    </row>
    <row r="27" spans="1:16" x14ac:dyDescent="0.35">
      <c r="B27" s="32" t="s">
        <v>55</v>
      </c>
      <c r="C27" s="28"/>
      <c r="D27" s="10"/>
      <c r="E27" s="53">
        <v>0</v>
      </c>
      <c r="F27" s="53">
        <v>0</v>
      </c>
      <c r="G27" s="53">
        <v>0</v>
      </c>
      <c r="H27" s="53">
        <v>0</v>
      </c>
      <c r="I27" s="53">
        <v>0</v>
      </c>
      <c r="J27" s="155"/>
      <c r="K27" s="155"/>
      <c r="L27" s="155"/>
      <c r="M27" s="155"/>
      <c r="N27" s="155"/>
      <c r="O27" s="10"/>
      <c r="P27" s="11"/>
    </row>
    <row r="28" spans="1:16" s="33" customFormat="1" x14ac:dyDescent="0.35">
      <c r="B28" s="34"/>
      <c r="C28" s="35"/>
      <c r="D28" s="36"/>
      <c r="E28" s="37"/>
      <c r="F28" s="37"/>
      <c r="G28" s="37"/>
      <c r="H28" s="37"/>
      <c r="I28" s="37"/>
      <c r="J28" s="37"/>
      <c r="K28" s="37"/>
      <c r="L28" s="37"/>
      <c r="M28" s="37"/>
      <c r="N28" s="37"/>
      <c r="O28" s="36"/>
      <c r="P28" s="38"/>
    </row>
    <row r="29" spans="1:16" ht="27.65" customHeight="1" x14ac:dyDescent="0.35">
      <c r="B29" s="39" t="s">
        <v>57</v>
      </c>
      <c r="C29" s="28"/>
      <c r="D29" s="28"/>
      <c r="E29" s="148">
        <f>SUM(E15:E27)</f>
        <v>120</v>
      </c>
      <c r="F29" s="148">
        <f>SUM(F15:F27)</f>
        <v>180</v>
      </c>
      <c r="G29" s="148">
        <f>SUM(G15:G27)</f>
        <v>240</v>
      </c>
      <c r="H29" s="148">
        <f>SUM(H15:H27)</f>
        <v>300</v>
      </c>
      <c r="I29" s="148">
        <f>SUM(I15:I27)</f>
        <v>360</v>
      </c>
      <c r="J29" s="69"/>
      <c r="K29" s="69"/>
      <c r="L29" s="69"/>
      <c r="M29" s="69"/>
      <c r="N29" s="69"/>
      <c r="O29" s="10"/>
      <c r="P29" s="11"/>
    </row>
    <row r="30" spans="1:16" x14ac:dyDescent="0.35">
      <c r="A30" s="26"/>
      <c r="B30" s="27"/>
      <c r="C30" s="28"/>
      <c r="D30" s="28"/>
      <c r="E30" s="40"/>
      <c r="F30" s="40"/>
      <c r="G30" s="40"/>
      <c r="H30" s="40"/>
      <c r="I30" s="40"/>
      <c r="J30" s="69"/>
      <c r="K30" s="69"/>
      <c r="L30" s="69"/>
      <c r="M30" s="69"/>
      <c r="N30" s="69"/>
      <c r="O30" s="10"/>
      <c r="P30" s="11"/>
    </row>
    <row r="31" spans="1:16" x14ac:dyDescent="0.35">
      <c r="B31" s="41" t="s">
        <v>67</v>
      </c>
      <c r="C31" s="10"/>
      <c r="D31" s="10"/>
      <c r="E31" s="150">
        <f>E29-0</f>
        <v>120</v>
      </c>
      <c r="F31" s="150">
        <f>F29-E29</f>
        <v>60</v>
      </c>
      <c r="G31" s="150">
        <f>G29-F29</f>
        <v>60</v>
      </c>
      <c r="H31" s="150">
        <f>H29-G29</f>
        <v>60</v>
      </c>
      <c r="I31" s="150">
        <f>I29-H29</f>
        <v>60</v>
      </c>
      <c r="J31" s="154"/>
      <c r="K31" s="154"/>
      <c r="L31" s="154"/>
      <c r="M31" s="154"/>
      <c r="N31" s="154"/>
      <c r="O31" s="10"/>
      <c r="P31" s="11"/>
    </row>
    <row r="32" spans="1:16" x14ac:dyDescent="0.35">
      <c r="B32" s="41"/>
      <c r="C32" s="10"/>
      <c r="D32" s="10"/>
      <c r="E32" s="183"/>
      <c r="F32" s="183"/>
      <c r="G32" s="183"/>
      <c r="H32" s="183"/>
      <c r="I32" s="183"/>
      <c r="J32" s="183"/>
      <c r="K32" s="183"/>
      <c r="L32" s="183"/>
      <c r="M32" s="183"/>
      <c r="N32" s="183"/>
      <c r="O32" s="10"/>
      <c r="P32" s="11"/>
    </row>
    <row r="33" spans="1:16" x14ac:dyDescent="0.35">
      <c r="A33" s="26"/>
      <c r="B33" s="9"/>
      <c r="C33" s="10"/>
      <c r="D33" s="10"/>
      <c r="E33" s="284" t="s">
        <v>63</v>
      </c>
      <c r="F33" s="285"/>
      <c r="G33" s="302"/>
      <c r="H33" s="302"/>
      <c r="I33" s="302"/>
      <c r="J33" s="302"/>
      <c r="K33" s="302"/>
      <c r="L33" s="302"/>
      <c r="M33" s="302"/>
      <c r="N33" s="302"/>
      <c r="O33" s="10"/>
      <c r="P33" s="11"/>
    </row>
    <row r="34" spans="1:16" x14ac:dyDescent="0.35">
      <c r="A34" s="26"/>
      <c r="B34" s="9"/>
      <c r="C34" s="10"/>
      <c r="D34" s="10"/>
      <c r="E34" s="183"/>
      <c r="F34" s="183"/>
      <c r="G34" s="183"/>
      <c r="H34" s="183"/>
      <c r="I34" s="183"/>
      <c r="J34" s="183"/>
      <c r="K34" s="183"/>
      <c r="L34" s="183"/>
      <c r="M34" s="183"/>
      <c r="N34" s="183"/>
      <c r="O34" s="10"/>
      <c r="P34" s="11"/>
    </row>
    <row r="35" spans="1:16" x14ac:dyDescent="0.35">
      <c r="A35" s="26"/>
      <c r="B35" s="27"/>
      <c r="C35" s="28"/>
      <c r="D35" s="1"/>
      <c r="E35" s="29" t="s">
        <v>47</v>
      </c>
      <c r="F35" s="29" t="s">
        <v>48</v>
      </c>
      <c r="G35" s="29" t="s">
        <v>49</v>
      </c>
      <c r="H35" s="29" t="s">
        <v>50</v>
      </c>
      <c r="I35" s="29" t="s">
        <v>51</v>
      </c>
      <c r="J35" s="57"/>
      <c r="K35" s="57"/>
      <c r="L35" s="57"/>
      <c r="M35" s="57"/>
      <c r="N35" s="57"/>
      <c r="O35" s="10"/>
      <c r="P35" s="11"/>
    </row>
    <row r="36" spans="1:16" x14ac:dyDescent="0.35">
      <c r="A36" s="26"/>
      <c r="B36" s="27"/>
      <c r="C36" s="28"/>
      <c r="D36" s="28"/>
      <c r="E36" s="30"/>
      <c r="F36" s="30"/>
      <c r="G36" s="30"/>
      <c r="H36" s="30"/>
      <c r="I36" s="30"/>
      <c r="J36" s="76"/>
      <c r="K36" s="76"/>
      <c r="L36" s="76"/>
      <c r="M36" s="76"/>
      <c r="N36" s="76"/>
      <c r="O36" s="10"/>
      <c r="P36" s="11"/>
    </row>
    <row r="37" spans="1:16" ht="29" x14ac:dyDescent="0.35">
      <c r="A37" s="26"/>
      <c r="B37" s="31" t="s">
        <v>56</v>
      </c>
      <c r="C37" s="28"/>
      <c r="D37" s="28"/>
      <c r="E37" s="53">
        <v>0</v>
      </c>
      <c r="F37" s="53">
        <v>0</v>
      </c>
      <c r="G37" s="53">
        <v>0</v>
      </c>
      <c r="H37" s="53">
        <v>0</v>
      </c>
      <c r="I37" s="53">
        <v>0</v>
      </c>
      <c r="J37" s="155"/>
      <c r="K37" s="155"/>
      <c r="L37" s="155"/>
      <c r="M37" s="155"/>
      <c r="N37" s="155"/>
      <c r="O37" s="10"/>
      <c r="P37" s="11"/>
    </row>
    <row r="38" spans="1:16" x14ac:dyDescent="0.35">
      <c r="A38" s="26"/>
      <c r="B38" s="27"/>
      <c r="C38" s="28"/>
      <c r="D38" s="28"/>
      <c r="E38" s="30"/>
      <c r="F38" s="30"/>
      <c r="G38" s="30"/>
      <c r="H38" s="30"/>
      <c r="I38" s="30"/>
      <c r="J38" s="76"/>
      <c r="K38" s="76"/>
      <c r="L38" s="76"/>
      <c r="M38" s="76"/>
      <c r="N38" s="76"/>
      <c r="O38" s="10"/>
      <c r="P38" s="11"/>
    </row>
    <row r="39" spans="1:16" x14ac:dyDescent="0.35">
      <c r="A39" s="26"/>
      <c r="B39" s="32" t="s">
        <v>33</v>
      </c>
      <c r="C39" s="28"/>
      <c r="D39" s="10"/>
      <c r="E39" s="53">
        <v>2</v>
      </c>
      <c r="F39" s="53">
        <v>2</v>
      </c>
      <c r="G39" s="53">
        <v>2</v>
      </c>
      <c r="H39" s="53">
        <v>2</v>
      </c>
      <c r="I39" s="53">
        <v>2</v>
      </c>
      <c r="J39" s="155"/>
      <c r="K39" s="155"/>
      <c r="L39" s="155"/>
      <c r="M39" s="155"/>
      <c r="N39" s="155"/>
      <c r="O39" s="10"/>
      <c r="P39" s="11"/>
    </row>
    <row r="40" spans="1:16" x14ac:dyDescent="0.35">
      <c r="A40" s="26"/>
      <c r="B40" s="32" t="s">
        <v>34</v>
      </c>
      <c r="C40" s="28"/>
      <c r="D40" s="10"/>
      <c r="E40" s="53">
        <v>2</v>
      </c>
      <c r="F40" s="53">
        <v>2</v>
      </c>
      <c r="G40" s="53">
        <v>2</v>
      </c>
      <c r="H40" s="53">
        <v>2</v>
      </c>
      <c r="I40" s="53">
        <v>2</v>
      </c>
      <c r="J40" s="155"/>
      <c r="K40" s="155"/>
      <c r="L40" s="155"/>
      <c r="M40" s="155"/>
      <c r="N40" s="155"/>
      <c r="O40" s="10"/>
      <c r="P40" s="11"/>
    </row>
    <row r="41" spans="1:16" x14ac:dyDescent="0.35">
      <c r="A41" s="26"/>
      <c r="B41" s="32" t="s">
        <v>35</v>
      </c>
      <c r="C41" s="28"/>
      <c r="D41" s="10"/>
      <c r="E41" s="53">
        <v>0</v>
      </c>
      <c r="F41" s="53">
        <v>2</v>
      </c>
      <c r="G41" s="53">
        <v>2</v>
      </c>
      <c r="H41" s="53">
        <v>2</v>
      </c>
      <c r="I41" s="53">
        <v>2</v>
      </c>
      <c r="J41" s="155"/>
      <c r="K41" s="155"/>
      <c r="L41" s="155"/>
      <c r="M41" s="155"/>
      <c r="N41" s="155"/>
      <c r="O41" s="10"/>
      <c r="P41" s="11"/>
    </row>
    <row r="42" spans="1:16" x14ac:dyDescent="0.35">
      <c r="A42" s="26"/>
      <c r="B42" s="32" t="s">
        <v>36</v>
      </c>
      <c r="C42" s="28"/>
      <c r="D42" s="10"/>
      <c r="E42" s="53">
        <v>0</v>
      </c>
      <c r="F42" s="53">
        <v>0</v>
      </c>
      <c r="G42" s="53">
        <v>2</v>
      </c>
      <c r="H42" s="53">
        <v>2</v>
      </c>
      <c r="I42" s="53">
        <v>2</v>
      </c>
      <c r="J42" s="155"/>
      <c r="K42" s="155"/>
      <c r="L42" s="155"/>
      <c r="M42" s="155"/>
      <c r="N42" s="155"/>
      <c r="O42" s="10"/>
      <c r="P42" s="11"/>
    </row>
    <row r="43" spans="1:16" x14ac:dyDescent="0.35">
      <c r="A43" s="26"/>
      <c r="B43" s="32" t="s">
        <v>37</v>
      </c>
      <c r="C43" s="28"/>
      <c r="D43" s="10"/>
      <c r="E43" s="53">
        <v>0</v>
      </c>
      <c r="F43" s="53">
        <v>0</v>
      </c>
      <c r="G43" s="53">
        <v>0</v>
      </c>
      <c r="H43" s="53">
        <v>2</v>
      </c>
      <c r="I43" s="53">
        <v>2</v>
      </c>
      <c r="J43" s="155"/>
      <c r="K43" s="155"/>
      <c r="L43" s="155"/>
      <c r="M43" s="155"/>
      <c r="N43" s="155"/>
      <c r="O43" s="10"/>
      <c r="P43" s="11"/>
    </row>
    <row r="44" spans="1:16" x14ac:dyDescent="0.35">
      <c r="A44" s="26"/>
      <c r="B44" s="32" t="s">
        <v>38</v>
      </c>
      <c r="C44" s="28"/>
      <c r="D44" s="10"/>
      <c r="E44" s="53">
        <v>0</v>
      </c>
      <c r="F44" s="53">
        <v>0</v>
      </c>
      <c r="G44" s="53">
        <v>0</v>
      </c>
      <c r="H44" s="53">
        <v>0</v>
      </c>
      <c r="I44" s="53">
        <v>2</v>
      </c>
      <c r="J44" s="155"/>
      <c r="K44" s="155"/>
      <c r="L44" s="155"/>
      <c r="M44" s="155"/>
      <c r="N44" s="155"/>
      <c r="O44" s="10"/>
      <c r="P44" s="11"/>
    </row>
    <row r="45" spans="1:16" x14ac:dyDescent="0.35">
      <c r="A45" s="26"/>
      <c r="B45" s="32" t="s">
        <v>39</v>
      </c>
      <c r="C45" s="28"/>
      <c r="D45" s="10"/>
      <c r="E45" s="53">
        <v>0</v>
      </c>
      <c r="F45" s="53">
        <v>0</v>
      </c>
      <c r="G45" s="53">
        <v>0</v>
      </c>
      <c r="H45" s="53">
        <v>0</v>
      </c>
      <c r="I45" s="53">
        <v>0</v>
      </c>
      <c r="J45" s="155"/>
      <c r="K45" s="155"/>
      <c r="L45" s="155"/>
      <c r="M45" s="155"/>
      <c r="N45" s="155"/>
      <c r="O45" s="10"/>
      <c r="P45" s="11"/>
    </row>
    <row r="46" spans="1:16" x14ac:dyDescent="0.35">
      <c r="A46" s="26"/>
      <c r="B46" s="32" t="s">
        <v>40</v>
      </c>
      <c r="C46" s="28"/>
      <c r="D46" s="10"/>
      <c r="E46" s="53">
        <v>0</v>
      </c>
      <c r="F46" s="53">
        <v>0</v>
      </c>
      <c r="G46" s="53">
        <v>0</v>
      </c>
      <c r="H46" s="53">
        <v>0</v>
      </c>
      <c r="I46" s="53">
        <v>0</v>
      </c>
      <c r="J46" s="155"/>
      <c r="K46" s="155"/>
      <c r="L46" s="155"/>
      <c r="M46" s="155"/>
      <c r="N46" s="155"/>
      <c r="O46" s="10"/>
      <c r="P46" s="11"/>
    </row>
    <row r="47" spans="1:16" x14ac:dyDescent="0.35">
      <c r="A47" s="26"/>
      <c r="B47" s="32" t="s">
        <v>41</v>
      </c>
      <c r="C47" s="28"/>
      <c r="D47" s="10"/>
      <c r="E47" s="53">
        <v>0</v>
      </c>
      <c r="F47" s="53">
        <v>0</v>
      </c>
      <c r="G47" s="53">
        <v>0</v>
      </c>
      <c r="H47" s="53">
        <v>0</v>
      </c>
      <c r="I47" s="53">
        <v>0</v>
      </c>
      <c r="J47" s="155"/>
      <c r="K47" s="155"/>
      <c r="L47" s="155"/>
      <c r="M47" s="155"/>
      <c r="N47" s="155"/>
      <c r="O47" s="10"/>
      <c r="P47" s="11"/>
    </row>
    <row r="48" spans="1:16" x14ac:dyDescent="0.35">
      <c r="A48" s="26"/>
      <c r="B48" s="32" t="s">
        <v>52</v>
      </c>
      <c r="C48" s="28"/>
      <c r="D48" s="10"/>
      <c r="E48" s="53">
        <v>0</v>
      </c>
      <c r="F48" s="53">
        <v>0</v>
      </c>
      <c r="G48" s="53">
        <v>0</v>
      </c>
      <c r="H48" s="53">
        <v>0</v>
      </c>
      <c r="I48" s="53">
        <v>0</v>
      </c>
      <c r="J48" s="155"/>
      <c r="K48" s="155"/>
      <c r="L48" s="155"/>
      <c r="M48" s="155"/>
      <c r="N48" s="155"/>
      <c r="O48" s="10"/>
      <c r="P48" s="11"/>
    </row>
    <row r="49" spans="1:16" x14ac:dyDescent="0.35">
      <c r="A49" s="26"/>
      <c r="B49" s="32" t="s">
        <v>53</v>
      </c>
      <c r="C49" s="28"/>
      <c r="D49" s="10"/>
      <c r="E49" s="53">
        <v>0</v>
      </c>
      <c r="F49" s="53">
        <v>0</v>
      </c>
      <c r="G49" s="53">
        <v>0</v>
      </c>
      <c r="H49" s="53">
        <v>0</v>
      </c>
      <c r="I49" s="53">
        <v>0</v>
      </c>
      <c r="J49" s="155"/>
      <c r="K49" s="155"/>
      <c r="L49" s="155"/>
      <c r="M49" s="155"/>
      <c r="N49" s="155"/>
      <c r="O49" s="10"/>
      <c r="P49" s="11"/>
    </row>
    <row r="50" spans="1:16" x14ac:dyDescent="0.35">
      <c r="A50" s="26"/>
      <c r="B50" s="32" t="s">
        <v>54</v>
      </c>
      <c r="C50" s="28"/>
      <c r="D50" s="10"/>
      <c r="E50" s="53">
        <v>0</v>
      </c>
      <c r="F50" s="53">
        <v>0</v>
      </c>
      <c r="G50" s="53">
        <v>0</v>
      </c>
      <c r="H50" s="53">
        <v>0</v>
      </c>
      <c r="I50" s="53">
        <v>0</v>
      </c>
      <c r="J50" s="155"/>
      <c r="K50" s="155"/>
      <c r="L50" s="155"/>
      <c r="M50" s="155"/>
      <c r="N50" s="155"/>
      <c r="O50" s="10"/>
      <c r="P50" s="11"/>
    </row>
    <row r="51" spans="1:16" x14ac:dyDescent="0.35">
      <c r="A51" s="26"/>
      <c r="B51" s="32" t="s">
        <v>55</v>
      </c>
      <c r="C51" s="28"/>
      <c r="D51" s="10"/>
      <c r="E51" s="53">
        <v>0</v>
      </c>
      <c r="F51" s="53">
        <v>0</v>
      </c>
      <c r="G51" s="53">
        <v>0</v>
      </c>
      <c r="H51" s="53">
        <v>0</v>
      </c>
      <c r="I51" s="53">
        <v>0</v>
      </c>
      <c r="J51" s="155"/>
      <c r="K51" s="155"/>
      <c r="L51" s="155"/>
      <c r="M51" s="155"/>
      <c r="N51" s="155"/>
      <c r="O51" s="10"/>
      <c r="P51" s="11"/>
    </row>
    <row r="52" spans="1:16" x14ac:dyDescent="0.35">
      <c r="A52" s="26"/>
      <c r="B52" s="34"/>
      <c r="C52" s="35"/>
      <c r="D52" s="36"/>
      <c r="E52" s="37"/>
      <c r="F52" s="37"/>
      <c r="G52" s="37"/>
      <c r="H52" s="37"/>
      <c r="I52" s="37"/>
      <c r="J52" s="37"/>
      <c r="K52" s="37"/>
      <c r="L52" s="37"/>
      <c r="M52" s="37"/>
      <c r="N52" s="37"/>
      <c r="O52" s="10"/>
      <c r="P52" s="11"/>
    </row>
    <row r="53" spans="1:16" x14ac:dyDescent="0.35">
      <c r="A53" s="26"/>
      <c r="B53" s="39" t="s">
        <v>62</v>
      </c>
      <c r="C53" s="28"/>
      <c r="D53" s="28"/>
      <c r="E53" s="148">
        <f>SUM(E39:E51)</f>
        <v>4</v>
      </c>
      <c r="F53" s="148">
        <f>SUM(F39:F51)</f>
        <v>6</v>
      </c>
      <c r="G53" s="148">
        <f>SUM(G39:G51)</f>
        <v>8</v>
      </c>
      <c r="H53" s="148">
        <f>SUM(H39:H51)</f>
        <v>10</v>
      </c>
      <c r="I53" s="148">
        <f>SUM(I39:I51)</f>
        <v>12</v>
      </c>
      <c r="J53" s="69"/>
      <c r="K53" s="69"/>
      <c r="L53" s="69"/>
      <c r="M53" s="69"/>
      <c r="N53" s="69"/>
      <c r="O53" s="10"/>
      <c r="P53" s="11"/>
    </row>
    <row r="54" spans="1:16" x14ac:dyDescent="0.35">
      <c r="A54" s="26"/>
      <c r="B54" s="27"/>
      <c r="C54" s="28"/>
      <c r="D54" s="28"/>
      <c r="E54" s="40"/>
      <c r="F54" s="40"/>
      <c r="G54" s="40"/>
      <c r="H54" s="40"/>
      <c r="I54" s="40"/>
      <c r="J54" s="69"/>
      <c r="K54" s="69"/>
      <c r="L54" s="69"/>
      <c r="M54" s="69"/>
      <c r="N54" s="69"/>
      <c r="O54" s="10"/>
      <c r="P54" s="11"/>
    </row>
    <row r="55" spans="1:16" x14ac:dyDescent="0.35">
      <c r="A55" s="26"/>
      <c r="B55" s="42" t="s">
        <v>68</v>
      </c>
      <c r="C55" s="28"/>
      <c r="D55" s="28"/>
      <c r="E55" s="148">
        <f>E53-0</f>
        <v>4</v>
      </c>
      <c r="F55" s="148">
        <f>F53-E53</f>
        <v>2</v>
      </c>
      <c r="G55" s="148">
        <f>G53-F53</f>
        <v>2</v>
      </c>
      <c r="H55" s="148">
        <f>H53-G53</f>
        <v>2</v>
      </c>
      <c r="I55" s="148">
        <f>I53-H53</f>
        <v>2</v>
      </c>
      <c r="J55" s="69"/>
      <c r="K55" s="69"/>
      <c r="L55" s="69"/>
      <c r="M55" s="69"/>
      <c r="N55" s="69"/>
      <c r="O55" s="10"/>
      <c r="P55" s="11"/>
    </row>
    <row r="56" spans="1:16" ht="15" thickBot="1" x14ac:dyDescent="0.4">
      <c r="A56" s="26"/>
      <c r="B56" s="187"/>
      <c r="C56" s="188"/>
      <c r="D56" s="188"/>
      <c r="E56" s="190"/>
      <c r="F56" s="190"/>
      <c r="G56" s="190"/>
      <c r="H56" s="190"/>
      <c r="I56" s="190"/>
      <c r="J56" s="189"/>
      <c r="K56" s="189"/>
      <c r="L56" s="189"/>
      <c r="M56" s="189"/>
      <c r="N56" s="189"/>
      <c r="O56" s="23"/>
      <c r="P56" s="24"/>
    </row>
    <row r="57" spans="1:16" ht="15" thickBot="1" x14ac:dyDescent="0.4">
      <c r="A57" s="26"/>
      <c r="B57" s="58"/>
      <c r="C57" s="28"/>
      <c r="D57" s="28"/>
      <c r="E57" s="40"/>
      <c r="F57" s="40"/>
      <c r="G57" s="40"/>
      <c r="H57" s="40"/>
      <c r="I57" s="40"/>
      <c r="J57" s="69"/>
      <c r="K57" s="69"/>
      <c r="L57" s="69"/>
      <c r="M57" s="69"/>
      <c r="N57" s="69"/>
      <c r="O57" s="10"/>
      <c r="P57" s="10"/>
    </row>
    <row r="58" spans="1:16" s="10" customFormat="1" x14ac:dyDescent="0.35">
      <c r="A58" s="28"/>
      <c r="B58" s="191"/>
      <c r="C58" s="192"/>
      <c r="D58" s="192"/>
      <c r="E58" s="193"/>
      <c r="F58" s="193"/>
      <c r="G58" s="193"/>
      <c r="H58" s="193"/>
      <c r="I58" s="193"/>
      <c r="J58" s="193"/>
      <c r="K58" s="193"/>
      <c r="L58" s="193"/>
      <c r="M58" s="193"/>
      <c r="N58" s="193"/>
      <c r="O58" s="7"/>
      <c r="P58" s="8"/>
    </row>
    <row r="59" spans="1:16" ht="14.65" customHeight="1" x14ac:dyDescent="0.35">
      <c r="A59" s="26"/>
      <c r="B59" s="9"/>
      <c r="C59" s="10"/>
      <c r="D59" s="10"/>
      <c r="E59" s="284" t="s">
        <v>66</v>
      </c>
      <c r="F59" s="284"/>
      <c r="G59" s="284"/>
      <c r="H59" s="284"/>
      <c r="I59" s="284"/>
      <c r="J59" s="284"/>
      <c r="K59" s="284"/>
      <c r="L59" s="284"/>
      <c r="M59" s="284"/>
      <c r="N59" s="284"/>
      <c r="O59" s="10"/>
      <c r="P59" s="11"/>
    </row>
    <row r="60" spans="1:16" ht="14.65" customHeight="1" x14ac:dyDescent="0.35">
      <c r="A60" s="26"/>
      <c r="B60" s="9"/>
      <c r="C60" s="10"/>
      <c r="D60" s="10"/>
      <c r="E60" s="284" t="s">
        <v>186</v>
      </c>
      <c r="F60" s="284"/>
      <c r="G60" s="284"/>
      <c r="H60" s="284"/>
      <c r="I60" s="284"/>
      <c r="J60" s="284"/>
      <c r="K60" s="284"/>
      <c r="L60" s="284"/>
      <c r="M60" s="284"/>
      <c r="N60" s="284"/>
      <c r="O60" s="10"/>
      <c r="P60" s="11"/>
    </row>
    <row r="61" spans="1:16" x14ac:dyDescent="0.35">
      <c r="A61" s="26"/>
      <c r="B61" s="9"/>
      <c r="C61" s="10"/>
      <c r="D61" s="10"/>
      <c r="E61" s="183"/>
      <c r="F61" s="183"/>
      <c r="G61" s="183"/>
      <c r="H61" s="183"/>
      <c r="I61" s="183"/>
      <c r="J61" s="183"/>
      <c r="K61" s="183"/>
      <c r="L61" s="183"/>
      <c r="M61" s="183"/>
      <c r="N61" s="183"/>
      <c r="O61" s="10"/>
      <c r="P61" s="11"/>
    </row>
    <row r="62" spans="1:16" x14ac:dyDescent="0.35">
      <c r="A62" s="35"/>
      <c r="B62" s="43" t="s">
        <v>45</v>
      </c>
      <c r="C62" s="35"/>
      <c r="D62" s="35"/>
      <c r="E62" s="54">
        <v>0.13</v>
      </c>
      <c r="F62" s="54">
        <v>0.13</v>
      </c>
      <c r="G62" s="54">
        <v>0.13</v>
      </c>
      <c r="H62" s="54">
        <v>0.13</v>
      </c>
      <c r="I62" s="54">
        <v>0.13</v>
      </c>
      <c r="J62" s="156"/>
      <c r="K62" s="156"/>
      <c r="L62" s="156"/>
      <c r="M62" s="156"/>
      <c r="N62" s="156"/>
      <c r="O62" s="10"/>
      <c r="P62" s="11"/>
    </row>
    <row r="63" spans="1:16" x14ac:dyDescent="0.35">
      <c r="A63" s="44"/>
      <c r="B63" s="45" t="s">
        <v>46</v>
      </c>
      <c r="C63" s="35"/>
      <c r="D63" s="35"/>
      <c r="E63" s="46">
        <f>ROUND(E62*E29,0)</f>
        <v>16</v>
      </c>
      <c r="F63" s="46">
        <f>ROUND(F62*F29,0)</f>
        <v>23</v>
      </c>
      <c r="G63" s="46">
        <f>ROUND(G62*G29,0)</f>
        <v>31</v>
      </c>
      <c r="H63" s="46">
        <f>ROUND(H62*H29,0)</f>
        <v>39</v>
      </c>
      <c r="I63" s="46">
        <f>ROUND(I62*I29,0)</f>
        <v>47</v>
      </c>
      <c r="J63" s="46"/>
      <c r="K63" s="46"/>
      <c r="L63" s="46"/>
      <c r="M63" s="46"/>
      <c r="N63" s="46"/>
      <c r="O63" s="10"/>
      <c r="P63" s="11"/>
    </row>
    <row r="64" spans="1:16" x14ac:dyDescent="0.35">
      <c r="A64" s="26"/>
      <c r="B64" s="27"/>
      <c r="C64" s="28"/>
      <c r="D64" s="28"/>
      <c r="E64" s="30"/>
      <c r="F64" s="30"/>
      <c r="G64" s="30"/>
      <c r="H64" s="30"/>
      <c r="I64" s="30"/>
      <c r="J64" s="76"/>
      <c r="K64" s="76"/>
      <c r="L64" s="76"/>
      <c r="M64" s="76"/>
      <c r="N64" s="76"/>
      <c r="O64" s="10"/>
      <c r="P64" s="11"/>
    </row>
    <row r="65" spans="1:16" x14ac:dyDescent="0.35">
      <c r="A65" s="35"/>
      <c r="B65" s="47" t="s">
        <v>64</v>
      </c>
      <c r="C65" s="35"/>
      <c r="D65" s="35"/>
      <c r="E65" s="54">
        <v>0.1</v>
      </c>
      <c r="F65" s="54">
        <v>0.1</v>
      </c>
      <c r="G65" s="54">
        <v>0.1</v>
      </c>
      <c r="H65" s="54">
        <v>0.1</v>
      </c>
      <c r="I65" s="54">
        <v>0.1</v>
      </c>
      <c r="J65" s="156"/>
      <c r="K65" s="156"/>
      <c r="L65" s="156"/>
      <c r="M65" s="156"/>
      <c r="N65" s="156"/>
      <c r="O65" s="10"/>
      <c r="P65" s="11"/>
    </row>
    <row r="66" spans="1:16" x14ac:dyDescent="0.35">
      <c r="A66" s="44"/>
      <c r="B66" s="45" t="s">
        <v>65</v>
      </c>
      <c r="C66" s="35"/>
      <c r="D66" s="35"/>
      <c r="E66" s="46">
        <f>ROUND(E65*E29,0)</f>
        <v>12</v>
      </c>
      <c r="F66" s="46">
        <f>ROUND(F65*F29,0)</f>
        <v>18</v>
      </c>
      <c r="G66" s="46">
        <f>ROUND(G65*G29,0)</f>
        <v>24</v>
      </c>
      <c r="H66" s="46">
        <f>ROUND(H65*H29,0)</f>
        <v>30</v>
      </c>
      <c r="I66" s="46">
        <f>ROUND(I65*I29,0)</f>
        <v>36</v>
      </c>
      <c r="J66" s="46"/>
      <c r="K66" s="46"/>
      <c r="L66" s="46"/>
      <c r="M66" s="46"/>
      <c r="N66" s="46"/>
      <c r="O66" s="10"/>
      <c r="P66" s="11"/>
    </row>
    <row r="67" spans="1:16" x14ac:dyDescent="0.35">
      <c r="A67" s="44"/>
      <c r="B67" s="47"/>
      <c r="C67" s="35"/>
      <c r="D67" s="35"/>
      <c r="E67" s="48"/>
      <c r="F67" s="48"/>
      <c r="G67" s="48"/>
      <c r="H67" s="48"/>
      <c r="I67" s="48"/>
      <c r="J67" s="48"/>
      <c r="K67" s="48"/>
      <c r="L67" s="48"/>
      <c r="M67" s="48"/>
      <c r="N67" s="48"/>
      <c r="O67" s="10"/>
      <c r="P67" s="11"/>
    </row>
    <row r="68" spans="1:16" x14ac:dyDescent="0.35">
      <c r="A68" s="26"/>
      <c r="B68" s="49" t="s">
        <v>189</v>
      </c>
      <c r="C68" s="28"/>
      <c r="D68" s="28"/>
      <c r="E68" s="149">
        <f>1-E69-E70</f>
        <v>9.9999999999999978E-2</v>
      </c>
      <c r="F68" s="149">
        <f>1-F69-F70</f>
        <v>9.9999999999999978E-2</v>
      </c>
      <c r="G68" s="149">
        <f>1-G69-G70</f>
        <v>9.9999999999999978E-2</v>
      </c>
      <c r="H68" s="149">
        <f>1-H69-H70</f>
        <v>9.9999999999999978E-2</v>
      </c>
      <c r="I68" s="149">
        <f>1-I69-I70</f>
        <v>9.9999999999999978E-2</v>
      </c>
      <c r="J68" s="157"/>
      <c r="K68" s="157"/>
      <c r="L68" s="157"/>
      <c r="M68" s="157"/>
      <c r="N68" s="157"/>
      <c r="O68" s="10"/>
      <c r="P68" s="11"/>
    </row>
    <row r="69" spans="1:16" x14ac:dyDescent="0.35">
      <c r="A69" s="26"/>
      <c r="B69" s="49" t="s">
        <v>190</v>
      </c>
      <c r="C69" s="28"/>
      <c r="D69" s="28"/>
      <c r="E69" s="54">
        <v>0.1</v>
      </c>
      <c r="F69" s="54">
        <v>0.1</v>
      </c>
      <c r="G69" s="54">
        <v>0.1</v>
      </c>
      <c r="H69" s="54">
        <v>0.1</v>
      </c>
      <c r="I69" s="54">
        <v>0.1</v>
      </c>
      <c r="J69" s="156"/>
      <c r="K69" s="156"/>
      <c r="L69" s="156"/>
      <c r="M69" s="156"/>
      <c r="N69" s="156"/>
      <c r="O69" s="10"/>
      <c r="P69" s="11"/>
    </row>
    <row r="70" spans="1:16" x14ac:dyDescent="0.35">
      <c r="A70" s="26"/>
      <c r="B70" s="49" t="s">
        <v>191</v>
      </c>
      <c r="C70" s="28"/>
      <c r="D70" s="28"/>
      <c r="E70" s="54">
        <v>0.8</v>
      </c>
      <c r="F70" s="54">
        <v>0.8</v>
      </c>
      <c r="G70" s="54">
        <v>0.8</v>
      </c>
      <c r="H70" s="54">
        <v>0.8</v>
      </c>
      <c r="I70" s="54">
        <v>0.8</v>
      </c>
      <c r="J70" s="156"/>
      <c r="K70" s="156"/>
      <c r="L70" s="156"/>
      <c r="M70" s="156"/>
      <c r="N70" s="156"/>
      <c r="O70" s="10"/>
      <c r="P70" s="11"/>
    </row>
    <row r="71" spans="1:16" x14ac:dyDescent="0.35">
      <c r="A71" s="26"/>
      <c r="B71" s="42" t="s">
        <v>192</v>
      </c>
      <c r="C71" s="28"/>
      <c r="D71" s="28"/>
      <c r="E71" s="148">
        <f>E29-E72-E73</f>
        <v>12</v>
      </c>
      <c r="F71" s="148">
        <f>F29-F72-F73</f>
        <v>18</v>
      </c>
      <c r="G71" s="148">
        <f>G29-G72-G73</f>
        <v>24</v>
      </c>
      <c r="H71" s="148">
        <f>H29-H72-H73</f>
        <v>30</v>
      </c>
      <c r="I71" s="148">
        <f>I29-I72-I73</f>
        <v>36</v>
      </c>
      <c r="J71" s="69"/>
      <c r="K71" s="69"/>
      <c r="L71" s="69"/>
      <c r="M71" s="69"/>
      <c r="N71" s="69"/>
      <c r="O71" s="10"/>
      <c r="P71" s="11"/>
    </row>
    <row r="72" spans="1:16" x14ac:dyDescent="0.35">
      <c r="A72" s="26"/>
      <c r="B72" s="42" t="s">
        <v>193</v>
      </c>
      <c r="C72" s="28"/>
      <c r="D72" s="28"/>
      <c r="E72" s="148">
        <f>ROUND(E69*E29,0)</f>
        <v>12</v>
      </c>
      <c r="F72" s="148">
        <f>ROUND(F69*F29,0)</f>
        <v>18</v>
      </c>
      <c r="G72" s="148">
        <f>ROUND(G69*G29,0)</f>
        <v>24</v>
      </c>
      <c r="H72" s="148">
        <f>ROUND(H69*H29,0)</f>
        <v>30</v>
      </c>
      <c r="I72" s="148">
        <f>ROUND(I69*I29,0)</f>
        <v>36</v>
      </c>
      <c r="J72" s="69"/>
      <c r="K72" s="69"/>
      <c r="L72" s="69"/>
      <c r="M72" s="69"/>
      <c r="N72" s="69"/>
      <c r="O72" s="10"/>
      <c r="P72" s="11"/>
    </row>
    <row r="73" spans="1:16" x14ac:dyDescent="0.35">
      <c r="A73" s="26"/>
      <c r="B73" s="42" t="s">
        <v>194</v>
      </c>
      <c r="C73" s="28"/>
      <c r="D73" s="28"/>
      <c r="E73" s="148">
        <f>ROUND(E70*E29,0)</f>
        <v>96</v>
      </c>
      <c r="F73" s="148">
        <f>ROUND(F70*F29,0)</f>
        <v>144</v>
      </c>
      <c r="G73" s="148">
        <f>ROUND(G70*G29,0)</f>
        <v>192</v>
      </c>
      <c r="H73" s="148">
        <f>ROUND(H70*H29,0)</f>
        <v>240</v>
      </c>
      <c r="I73" s="148">
        <f>ROUND(I70*I29,0)</f>
        <v>288</v>
      </c>
      <c r="J73" s="69"/>
      <c r="K73" s="69"/>
      <c r="L73" s="69"/>
      <c r="M73" s="69"/>
      <c r="N73" s="69"/>
      <c r="O73" s="10"/>
      <c r="P73" s="11"/>
    </row>
    <row r="74" spans="1:16" x14ac:dyDescent="0.35">
      <c r="A74" s="26"/>
      <c r="B74" s="42" t="s">
        <v>205</v>
      </c>
      <c r="C74" s="28"/>
      <c r="D74" s="28"/>
      <c r="E74" s="148">
        <f>SUM(E72:E73)</f>
        <v>108</v>
      </c>
      <c r="F74" s="148">
        <f>SUM(F72:F73)</f>
        <v>162</v>
      </c>
      <c r="G74" s="148">
        <f>SUM(G72:G73)</f>
        <v>216</v>
      </c>
      <c r="H74" s="148">
        <f>SUM(H72:H73)</f>
        <v>270</v>
      </c>
      <c r="I74" s="148">
        <f>SUM(I72:I73)</f>
        <v>324</v>
      </c>
      <c r="J74" s="69"/>
      <c r="K74" s="69"/>
      <c r="L74" s="69"/>
      <c r="M74" s="69"/>
      <c r="N74" s="69"/>
      <c r="O74" s="10"/>
      <c r="P74" s="11"/>
    </row>
    <row r="75" spans="1:16" x14ac:dyDescent="0.35">
      <c r="A75" s="26"/>
      <c r="B75" s="27"/>
      <c r="C75" s="28"/>
      <c r="D75" s="28"/>
      <c r="E75" s="30"/>
      <c r="F75" s="30"/>
      <c r="G75" s="30"/>
      <c r="H75" s="30"/>
      <c r="I75" s="30"/>
      <c r="J75" s="76"/>
      <c r="K75" s="76"/>
      <c r="L75" s="76"/>
      <c r="M75" s="76"/>
      <c r="N75" s="76"/>
      <c r="O75" s="10"/>
      <c r="P75" s="11"/>
    </row>
    <row r="76" spans="1:16" x14ac:dyDescent="0.35">
      <c r="A76" s="26"/>
      <c r="B76" s="27" t="s">
        <v>43</v>
      </c>
      <c r="C76" s="28"/>
      <c r="D76" s="28"/>
      <c r="E76" s="53">
        <v>186</v>
      </c>
      <c r="F76" s="53">
        <v>186</v>
      </c>
      <c r="G76" s="53">
        <v>186</v>
      </c>
      <c r="H76" s="53">
        <v>186</v>
      </c>
      <c r="I76" s="53">
        <v>186</v>
      </c>
      <c r="J76" s="155"/>
      <c r="K76" s="155"/>
      <c r="L76" s="155"/>
      <c r="M76" s="155"/>
      <c r="N76" s="155"/>
      <c r="O76" s="10"/>
      <c r="P76" s="11"/>
    </row>
    <row r="77" spans="1:16" x14ac:dyDescent="0.35">
      <c r="A77" s="26"/>
      <c r="B77" s="27" t="s">
        <v>44</v>
      </c>
      <c r="C77" s="28"/>
      <c r="D77" s="28"/>
      <c r="E77" s="54">
        <v>0.96</v>
      </c>
      <c r="F77" s="54">
        <v>0.96</v>
      </c>
      <c r="G77" s="54">
        <v>0.96</v>
      </c>
      <c r="H77" s="54">
        <v>0.96</v>
      </c>
      <c r="I77" s="54">
        <v>0.96</v>
      </c>
      <c r="J77" s="156"/>
      <c r="K77" s="156"/>
      <c r="L77" s="156"/>
      <c r="M77" s="156"/>
      <c r="N77" s="156"/>
      <c r="O77" s="10"/>
      <c r="P77" s="11"/>
    </row>
    <row r="78" spans="1:16" ht="15" thickBot="1" x14ac:dyDescent="0.4">
      <c r="A78" s="35"/>
      <c r="B78" s="50"/>
      <c r="C78" s="51"/>
      <c r="D78" s="51"/>
      <c r="E78" s="52"/>
      <c r="F78" s="52"/>
      <c r="G78" s="52"/>
      <c r="H78" s="52"/>
      <c r="I78" s="52"/>
      <c r="J78" s="52"/>
      <c r="K78" s="52"/>
      <c r="L78" s="52"/>
      <c r="M78" s="52"/>
      <c r="N78" s="52"/>
      <c r="O78" s="23"/>
      <c r="P78" s="24"/>
    </row>
  </sheetData>
  <sheetProtection password="A0DA" sheet="1" objects="1" scenarios="1"/>
  <mergeCells count="7">
    <mergeCell ref="E60:N60"/>
    <mergeCell ref="E33:N33"/>
    <mergeCell ref="E59:N59"/>
    <mergeCell ref="E3:N3"/>
    <mergeCell ref="E4:N4"/>
    <mergeCell ref="E5:N5"/>
    <mergeCell ref="E8:N8"/>
  </mergeCells>
  <pageMargins left="0.7" right="0.7" top="0.75" bottom="0.75" header="0.3" footer="0.3"/>
  <pageSetup fitToHeight="3" orientation="landscape" horizontalDpi="1200" verticalDpi="1200" r:id="rId1"/>
  <headerFooter>
    <oddFooter>&amp;L&amp;A&amp;RPage &amp;P of &amp;N</oddFooter>
  </headerFooter>
  <rowBreaks count="1" manualBreakCount="1">
    <brk id="57" max="1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H191"/>
  <sheetViews>
    <sheetView showGridLines="0" topLeftCell="A175" zoomScale="75" zoomScaleNormal="75" zoomScaleSheetLayoutView="85" workbookViewId="0">
      <selection activeCell="F88" sqref="F88"/>
    </sheetView>
  </sheetViews>
  <sheetFormatPr defaultColWidth="8.7265625" defaultRowHeight="14.5" x14ac:dyDescent="0.35"/>
  <cols>
    <col min="1" max="1" width="4.7265625" style="5" customWidth="1"/>
    <col min="2" max="2" width="44.26953125" style="5" customWidth="1"/>
    <col min="3" max="3" width="23.26953125" style="5" customWidth="1"/>
    <col min="4" max="4" width="3.453125" style="5" customWidth="1"/>
    <col min="5" max="5" width="25.453125" style="5" customWidth="1"/>
    <col min="6" max="6" width="152.1796875" style="33" bestFit="1" customWidth="1"/>
    <col min="7" max="9" width="4.7265625" style="5" customWidth="1"/>
    <col min="10" max="16384" width="8.7265625" style="5"/>
  </cols>
  <sheetData>
    <row r="1" spans="1:8" ht="15" thickBot="1" x14ac:dyDescent="0.4"/>
    <row r="2" spans="1:8" x14ac:dyDescent="0.35">
      <c r="B2" s="6"/>
      <c r="C2" s="7"/>
      <c r="D2" s="7"/>
      <c r="E2" s="7"/>
      <c r="F2" s="55"/>
      <c r="G2" s="7"/>
      <c r="H2" s="8"/>
    </row>
    <row r="3" spans="1:8" ht="18.5" x14ac:dyDescent="0.45">
      <c r="B3" s="9"/>
      <c r="C3" s="10"/>
      <c r="D3" s="10"/>
      <c r="E3" s="184" t="str">
        <f>'1) Proposed School Information'!E12</f>
        <v>Luceo Collegiate School for the Arts Charter School</v>
      </c>
      <c r="F3" s="56"/>
      <c r="G3" s="10"/>
      <c r="H3" s="11"/>
    </row>
    <row r="4" spans="1:8" ht="18.5" x14ac:dyDescent="0.45">
      <c r="B4" s="9"/>
      <c r="C4" s="10"/>
      <c r="D4" s="10"/>
      <c r="E4" s="184" t="s">
        <v>17</v>
      </c>
      <c r="F4" s="56"/>
      <c r="G4" s="10"/>
      <c r="H4" s="11"/>
    </row>
    <row r="5" spans="1:8" ht="18.5" x14ac:dyDescent="0.45">
      <c r="B5" s="9"/>
      <c r="C5" s="10"/>
      <c r="D5" s="10"/>
      <c r="E5" s="184" t="s">
        <v>135</v>
      </c>
      <c r="F5" s="56"/>
      <c r="G5" s="10"/>
      <c r="H5" s="11"/>
    </row>
    <row r="6" spans="1:8" x14ac:dyDescent="0.35">
      <c r="B6" s="9"/>
      <c r="C6" s="10"/>
      <c r="D6" s="10"/>
      <c r="E6" s="10"/>
      <c r="F6" s="36"/>
      <c r="G6" s="10"/>
      <c r="H6" s="11"/>
    </row>
    <row r="7" spans="1:8" x14ac:dyDescent="0.35">
      <c r="B7" s="9"/>
      <c r="C7" s="10"/>
      <c r="D7" s="10"/>
      <c r="E7" s="10"/>
      <c r="F7" s="36"/>
      <c r="G7" s="10"/>
      <c r="H7" s="11"/>
    </row>
    <row r="8" spans="1:8" ht="14.65" customHeight="1" x14ac:dyDescent="0.35">
      <c r="B8" s="9"/>
      <c r="C8" s="284" t="s">
        <v>187</v>
      </c>
      <c r="D8" s="293"/>
      <c r="E8" s="293"/>
      <c r="F8" s="293"/>
      <c r="G8" s="10"/>
      <c r="H8" s="11"/>
    </row>
    <row r="9" spans="1:8" x14ac:dyDescent="0.35">
      <c r="B9" s="9"/>
      <c r="C9" s="10"/>
      <c r="D9" s="10"/>
      <c r="E9" s="10"/>
      <c r="F9" s="36"/>
      <c r="G9" s="10"/>
      <c r="H9" s="11"/>
    </row>
    <row r="10" spans="1:8" x14ac:dyDescent="0.35">
      <c r="A10" s="26"/>
      <c r="B10" s="27"/>
      <c r="C10" s="28"/>
      <c r="D10" s="1"/>
      <c r="E10" s="29" t="s">
        <v>136</v>
      </c>
      <c r="F10" s="57"/>
      <c r="G10" s="10"/>
      <c r="H10" s="11"/>
    </row>
    <row r="11" spans="1:8" x14ac:dyDescent="0.35">
      <c r="A11" s="26"/>
      <c r="B11" s="27"/>
      <c r="C11" s="28"/>
      <c r="D11" s="1"/>
      <c r="E11" s="29" t="str">
        <f>IF('1) Proposed School Information'!E23="Select Year"," ",VLOOKUP('6) Year 1 Budget'!E11,Source!A8:C21,3,FALSE))</f>
        <v>2020-21</v>
      </c>
      <c r="F11" s="57"/>
      <c r="G11" s="10"/>
      <c r="H11" s="11"/>
    </row>
    <row r="12" spans="1:8" hidden="1" x14ac:dyDescent="0.35">
      <c r="A12" s="26"/>
      <c r="B12" s="27"/>
      <c r="C12" s="58" t="s">
        <v>130</v>
      </c>
      <c r="D12" s="1"/>
      <c r="E12" s="59">
        <v>0</v>
      </c>
      <c r="F12" s="60"/>
      <c r="G12" s="10"/>
      <c r="H12" s="11"/>
    </row>
    <row r="13" spans="1:8" hidden="1" x14ac:dyDescent="0.35">
      <c r="A13" s="26"/>
      <c r="B13" s="27"/>
      <c r="C13" s="61" t="s">
        <v>94</v>
      </c>
      <c r="D13" s="1"/>
      <c r="E13" s="62">
        <f>100%+E12</f>
        <v>1</v>
      </c>
      <c r="F13" s="62"/>
      <c r="G13" s="10"/>
      <c r="H13" s="11"/>
    </row>
    <row r="14" spans="1:8" hidden="1" x14ac:dyDescent="0.35">
      <c r="A14" s="26"/>
      <c r="B14" s="27"/>
      <c r="C14" s="61"/>
      <c r="D14" s="1"/>
      <c r="E14" s="62"/>
      <c r="F14" s="62"/>
      <c r="G14" s="10"/>
      <c r="H14" s="11"/>
    </row>
    <row r="15" spans="1:8" x14ac:dyDescent="0.35">
      <c r="A15" s="26"/>
      <c r="B15" s="27"/>
      <c r="C15" s="61"/>
      <c r="D15" s="1"/>
      <c r="E15" s="62"/>
      <c r="F15" s="62"/>
      <c r="G15" s="10"/>
      <c r="H15" s="11"/>
    </row>
    <row r="16" spans="1:8" x14ac:dyDescent="0.35">
      <c r="A16" s="26"/>
      <c r="B16" s="42" t="s">
        <v>103</v>
      </c>
      <c r="C16" s="40" t="s">
        <v>134</v>
      </c>
      <c r="D16" s="28"/>
      <c r="E16" s="40" t="s">
        <v>204</v>
      </c>
      <c r="F16" s="63" t="s">
        <v>133</v>
      </c>
      <c r="G16" s="10"/>
      <c r="H16" s="11"/>
    </row>
    <row r="17" spans="1:8" hidden="1" x14ac:dyDescent="0.35">
      <c r="A17" s="26"/>
      <c r="B17" s="42" t="s">
        <v>102</v>
      </c>
      <c r="C17" s="58" t="s">
        <v>134</v>
      </c>
      <c r="D17" s="28"/>
      <c r="E17" s="30"/>
      <c r="F17" s="63" t="s">
        <v>133</v>
      </c>
      <c r="G17" s="10"/>
      <c r="H17" s="11"/>
    </row>
    <row r="18" spans="1:8" hidden="1" x14ac:dyDescent="0.35">
      <c r="A18" s="26"/>
      <c r="B18" s="49" t="s">
        <v>104</v>
      </c>
      <c r="C18" s="64">
        <v>0</v>
      </c>
      <c r="D18" s="10"/>
      <c r="E18" s="65">
        <v>0</v>
      </c>
      <c r="F18" s="195"/>
      <c r="G18" s="10"/>
      <c r="H18" s="11"/>
    </row>
    <row r="19" spans="1:8" hidden="1" x14ac:dyDescent="0.35">
      <c r="A19" s="26"/>
      <c r="B19" s="49" t="s">
        <v>105</v>
      </c>
      <c r="C19" s="64">
        <v>0</v>
      </c>
      <c r="D19" s="10"/>
      <c r="E19" s="65">
        <v>0</v>
      </c>
      <c r="F19" s="195"/>
      <c r="G19" s="10"/>
      <c r="H19" s="11"/>
    </row>
    <row r="20" spans="1:8" hidden="1" x14ac:dyDescent="0.35">
      <c r="A20" s="26"/>
      <c r="B20" s="49" t="s">
        <v>106</v>
      </c>
      <c r="C20" s="64">
        <v>0</v>
      </c>
      <c r="D20" s="10"/>
      <c r="E20" s="65">
        <v>0</v>
      </c>
      <c r="F20" s="195"/>
      <c r="G20" s="10"/>
      <c r="H20" s="11"/>
    </row>
    <row r="21" spans="1:8" hidden="1" x14ac:dyDescent="0.35">
      <c r="A21" s="26"/>
      <c r="B21" s="66" t="s">
        <v>112</v>
      </c>
      <c r="C21" s="64">
        <v>0</v>
      </c>
      <c r="D21" s="10"/>
      <c r="E21" s="65">
        <v>0</v>
      </c>
      <c r="F21" s="195"/>
      <c r="G21" s="10"/>
      <c r="H21" s="11"/>
    </row>
    <row r="22" spans="1:8" hidden="1" x14ac:dyDescent="0.35">
      <c r="A22" s="26"/>
      <c r="B22" s="66" t="s">
        <v>112</v>
      </c>
      <c r="C22" s="64">
        <v>0</v>
      </c>
      <c r="D22" s="10"/>
      <c r="E22" s="65">
        <v>0</v>
      </c>
      <c r="F22" s="195"/>
      <c r="G22" s="10"/>
      <c r="H22" s="11"/>
    </row>
    <row r="23" spans="1:8" s="36" customFormat="1" hidden="1" x14ac:dyDescent="0.35">
      <c r="A23" s="26"/>
      <c r="B23" s="47"/>
      <c r="C23" s="67"/>
      <c r="E23" s="68"/>
      <c r="F23" s="68"/>
      <c r="H23" s="38"/>
    </row>
    <row r="24" spans="1:8" x14ac:dyDescent="0.35">
      <c r="B24" s="9"/>
      <c r="C24" s="10"/>
      <c r="D24" s="10"/>
      <c r="E24" s="10"/>
      <c r="F24" s="10"/>
      <c r="G24" s="10"/>
      <c r="H24" s="11"/>
    </row>
    <row r="25" spans="1:8" hidden="1" x14ac:dyDescent="0.35">
      <c r="B25" s="49" t="s">
        <v>107</v>
      </c>
      <c r="C25" s="64">
        <v>0</v>
      </c>
      <c r="D25" s="10"/>
      <c r="E25" s="65">
        <v>0</v>
      </c>
      <c r="F25" s="195"/>
      <c r="G25" s="10"/>
      <c r="H25" s="11"/>
    </row>
    <row r="26" spans="1:8" hidden="1" x14ac:dyDescent="0.35">
      <c r="B26" s="49" t="s">
        <v>108</v>
      </c>
      <c r="C26" s="64">
        <v>0</v>
      </c>
      <c r="D26" s="10"/>
      <c r="E26" s="65">
        <v>0</v>
      </c>
      <c r="F26" s="195"/>
      <c r="G26" s="10"/>
      <c r="H26" s="11"/>
    </row>
    <row r="27" spans="1:8" hidden="1" x14ac:dyDescent="0.35">
      <c r="B27" s="49" t="s">
        <v>109</v>
      </c>
      <c r="C27" s="64">
        <v>0</v>
      </c>
      <c r="D27" s="10"/>
      <c r="E27" s="65">
        <v>0</v>
      </c>
      <c r="F27" s="195"/>
      <c r="G27" s="10"/>
      <c r="H27" s="11"/>
    </row>
    <row r="28" spans="1:8" hidden="1" x14ac:dyDescent="0.35">
      <c r="B28" s="49" t="s">
        <v>115</v>
      </c>
      <c r="C28" s="64">
        <v>0</v>
      </c>
      <c r="D28" s="10"/>
      <c r="E28" s="65">
        <v>0</v>
      </c>
      <c r="F28" s="195"/>
      <c r="G28" s="10"/>
      <c r="H28" s="11"/>
    </row>
    <row r="29" spans="1:8" hidden="1" x14ac:dyDescent="0.35">
      <c r="B29" s="49" t="s">
        <v>116</v>
      </c>
      <c r="C29" s="64">
        <v>0</v>
      </c>
      <c r="D29" s="10"/>
      <c r="E29" s="65">
        <v>0</v>
      </c>
      <c r="F29" s="195"/>
      <c r="G29" s="10"/>
      <c r="H29" s="11"/>
    </row>
    <row r="30" spans="1:8" x14ac:dyDescent="0.35">
      <c r="B30" s="49" t="s">
        <v>110</v>
      </c>
      <c r="C30" s="87"/>
      <c r="D30" s="10"/>
      <c r="E30" s="88">
        <v>0</v>
      </c>
      <c r="F30" s="165"/>
      <c r="G30" s="10"/>
      <c r="H30" s="11"/>
    </row>
    <row r="31" spans="1:8" hidden="1" x14ac:dyDescent="0.35">
      <c r="B31" s="66" t="s">
        <v>112</v>
      </c>
      <c r="C31" s="64">
        <v>0</v>
      </c>
      <c r="D31" s="10"/>
      <c r="E31" s="65">
        <v>0</v>
      </c>
      <c r="F31" s="195"/>
      <c r="G31" s="10"/>
      <c r="H31" s="11"/>
    </row>
    <row r="32" spans="1:8" hidden="1" x14ac:dyDescent="0.35">
      <c r="B32" s="66" t="s">
        <v>112</v>
      </c>
      <c r="C32" s="64">
        <v>0</v>
      </c>
      <c r="D32" s="10"/>
      <c r="E32" s="65">
        <v>0</v>
      </c>
      <c r="F32" s="195"/>
      <c r="G32" s="10"/>
      <c r="H32" s="11"/>
    </row>
    <row r="33" spans="1:8" s="36" customFormat="1" x14ac:dyDescent="0.35">
      <c r="B33" s="47"/>
      <c r="C33" s="67"/>
      <c r="E33" s="68"/>
      <c r="F33" s="68"/>
      <c r="H33" s="38"/>
    </row>
    <row r="34" spans="1:8" s="36" customFormat="1" hidden="1" x14ac:dyDescent="0.35">
      <c r="B34" s="45" t="s">
        <v>111</v>
      </c>
      <c r="C34" s="67"/>
      <c r="E34" s="68"/>
      <c r="F34" s="68"/>
      <c r="H34" s="38"/>
    </row>
    <row r="35" spans="1:8" hidden="1" x14ac:dyDescent="0.35">
      <c r="B35" s="66" t="s">
        <v>112</v>
      </c>
      <c r="C35" s="64">
        <v>0</v>
      </c>
      <c r="D35" s="10"/>
      <c r="E35" s="65">
        <v>0</v>
      </c>
      <c r="F35" s="195"/>
      <c r="G35" s="10"/>
      <c r="H35" s="11"/>
    </row>
    <row r="36" spans="1:8" hidden="1" x14ac:dyDescent="0.35">
      <c r="B36" s="66" t="s">
        <v>112</v>
      </c>
      <c r="C36" s="64">
        <v>0</v>
      </c>
      <c r="D36" s="10"/>
      <c r="E36" s="65">
        <v>0</v>
      </c>
      <c r="F36" s="195"/>
      <c r="G36" s="10"/>
      <c r="H36" s="11"/>
    </row>
    <row r="37" spans="1:8" hidden="1" x14ac:dyDescent="0.35">
      <c r="B37" s="66" t="s">
        <v>112</v>
      </c>
      <c r="C37" s="64">
        <v>0</v>
      </c>
      <c r="D37" s="10"/>
      <c r="E37" s="65">
        <v>0</v>
      </c>
      <c r="F37" s="195"/>
      <c r="G37" s="10"/>
      <c r="H37" s="11"/>
    </row>
    <row r="38" spans="1:8" s="36" customFormat="1" hidden="1" x14ac:dyDescent="0.35">
      <c r="B38" s="66" t="s">
        <v>112</v>
      </c>
      <c r="C38" s="64">
        <v>0</v>
      </c>
      <c r="D38" s="10"/>
      <c r="E38" s="65">
        <v>0</v>
      </c>
      <c r="F38" s="195"/>
      <c r="H38" s="38"/>
    </row>
    <row r="39" spans="1:8" hidden="1" x14ac:dyDescent="0.35">
      <c r="B39" s="66" t="s">
        <v>112</v>
      </c>
      <c r="C39" s="64">
        <v>0</v>
      </c>
      <c r="D39" s="10"/>
      <c r="E39" s="65">
        <v>0</v>
      </c>
      <c r="F39" s="195"/>
      <c r="G39" s="10"/>
      <c r="H39" s="11"/>
    </row>
    <row r="40" spans="1:8" s="36" customFormat="1" hidden="1" x14ac:dyDescent="0.35">
      <c r="B40" s="47"/>
      <c r="C40" s="67"/>
      <c r="E40" s="68"/>
      <c r="F40" s="68"/>
      <c r="H40" s="38"/>
    </row>
    <row r="41" spans="1:8" x14ac:dyDescent="0.35">
      <c r="B41" s="45" t="s">
        <v>114</v>
      </c>
      <c r="C41" s="67"/>
      <c r="D41" s="36"/>
      <c r="E41" s="68"/>
      <c r="F41" s="63" t="s">
        <v>177</v>
      </c>
      <c r="G41" s="36"/>
      <c r="H41" s="38"/>
    </row>
    <row r="42" spans="1:8" x14ac:dyDescent="0.35">
      <c r="B42" s="89" t="s">
        <v>273</v>
      </c>
      <c r="C42" s="87">
        <v>325000</v>
      </c>
      <c r="D42" s="10"/>
      <c r="E42" s="87">
        <f>C42</f>
        <v>325000</v>
      </c>
      <c r="F42" s="165" t="s">
        <v>377</v>
      </c>
      <c r="G42" s="10"/>
      <c r="H42" s="11"/>
    </row>
    <row r="43" spans="1:8" x14ac:dyDescent="0.35">
      <c r="B43" s="89" t="s">
        <v>274</v>
      </c>
      <c r="C43" s="87">
        <v>10000</v>
      </c>
      <c r="D43" s="10"/>
      <c r="E43" s="87">
        <f>C43</f>
        <v>10000</v>
      </c>
      <c r="F43" s="165" t="s">
        <v>345</v>
      </c>
      <c r="G43" s="10"/>
      <c r="H43" s="11"/>
    </row>
    <row r="44" spans="1:8" x14ac:dyDescent="0.35">
      <c r="B44" s="89" t="s">
        <v>112</v>
      </c>
      <c r="C44" s="87"/>
      <c r="D44" s="10"/>
      <c r="E44" s="87">
        <v>0</v>
      </c>
      <c r="F44" s="165"/>
      <c r="G44" s="10"/>
      <c r="H44" s="11"/>
    </row>
    <row r="45" spans="1:8" s="33" customFormat="1" x14ac:dyDescent="0.35">
      <c r="B45" s="89" t="s">
        <v>112</v>
      </c>
      <c r="C45" s="87"/>
      <c r="D45" s="10"/>
      <c r="E45" s="87">
        <v>0</v>
      </c>
      <c r="F45" s="165"/>
      <c r="G45" s="36"/>
      <c r="H45" s="38"/>
    </row>
    <row r="46" spans="1:8" ht="14.65" customHeight="1" x14ac:dyDescent="0.35">
      <c r="B46" s="89" t="s">
        <v>112</v>
      </c>
      <c r="C46" s="87"/>
      <c r="D46" s="10"/>
      <c r="E46" s="87">
        <v>0</v>
      </c>
      <c r="F46" s="165"/>
      <c r="G46" s="10"/>
      <c r="H46" s="11"/>
    </row>
    <row r="47" spans="1:8" x14ac:dyDescent="0.35">
      <c r="A47" s="26"/>
      <c r="B47" s="27"/>
      <c r="C47" s="28"/>
      <c r="D47" s="28"/>
      <c r="E47" s="40"/>
      <c r="F47" s="69"/>
      <c r="G47" s="10"/>
      <c r="H47" s="11"/>
    </row>
    <row r="48" spans="1:8" ht="19" thickBot="1" x14ac:dyDescent="0.5">
      <c r="B48" s="70" t="s">
        <v>113</v>
      </c>
      <c r="C48" s="10"/>
      <c r="D48" s="10"/>
      <c r="E48" s="71">
        <f>SUM(E18:E22,E24:E32,E35:E39,E42:E46)</f>
        <v>335000</v>
      </c>
      <c r="F48" s="72"/>
      <c r="G48" s="10"/>
      <c r="H48" s="11"/>
    </row>
    <row r="49" spans="1:8" ht="19.5" thickTop="1" thickBot="1" x14ac:dyDescent="0.5">
      <c r="B49" s="70"/>
      <c r="C49" s="10"/>
      <c r="D49" s="10"/>
      <c r="E49" s="73"/>
      <c r="F49" s="72"/>
      <c r="G49" s="10"/>
      <c r="H49" s="11"/>
    </row>
    <row r="50" spans="1:8" ht="19" thickBot="1" x14ac:dyDescent="0.5">
      <c r="B50" s="70"/>
      <c r="C50" s="313" t="s">
        <v>178</v>
      </c>
      <c r="D50" s="314"/>
      <c r="E50" s="314"/>
      <c r="F50" s="315"/>
      <c r="G50" s="10"/>
      <c r="H50" s="11"/>
    </row>
    <row r="51" spans="1:8" ht="18.5" x14ac:dyDescent="0.45">
      <c r="B51" s="70"/>
      <c r="C51" s="304"/>
      <c r="D51" s="305"/>
      <c r="E51" s="305"/>
      <c r="F51" s="306"/>
      <c r="G51" s="10"/>
      <c r="H51" s="11"/>
    </row>
    <row r="52" spans="1:8" ht="18.5" x14ac:dyDescent="0.45">
      <c r="B52" s="70"/>
      <c r="C52" s="307"/>
      <c r="D52" s="308"/>
      <c r="E52" s="308"/>
      <c r="F52" s="309"/>
      <c r="G52" s="10"/>
      <c r="H52" s="11"/>
    </row>
    <row r="53" spans="1:8" ht="18.5" x14ac:dyDescent="0.45">
      <c r="B53" s="70"/>
      <c r="C53" s="307"/>
      <c r="D53" s="308"/>
      <c r="E53" s="308"/>
      <c r="F53" s="309"/>
      <c r="G53" s="10"/>
      <c r="H53" s="11"/>
    </row>
    <row r="54" spans="1:8" ht="18.5" x14ac:dyDescent="0.45">
      <c r="B54" s="70"/>
      <c r="C54" s="307"/>
      <c r="D54" s="308"/>
      <c r="E54" s="308"/>
      <c r="F54" s="309"/>
      <c r="G54" s="10"/>
      <c r="H54" s="11"/>
    </row>
    <row r="55" spans="1:8" ht="19" thickBot="1" x14ac:dyDescent="0.5">
      <c r="B55" s="194"/>
      <c r="C55" s="310"/>
      <c r="D55" s="311"/>
      <c r="E55" s="311"/>
      <c r="F55" s="312"/>
      <c r="G55" s="23"/>
      <c r="H55" s="24"/>
    </row>
    <row r="56" spans="1:8" s="10" customFormat="1" x14ac:dyDescent="0.35">
      <c r="B56" s="196"/>
      <c r="C56" s="7"/>
      <c r="D56" s="7"/>
      <c r="E56" s="197"/>
      <c r="F56" s="198"/>
      <c r="G56" s="7"/>
      <c r="H56" s="8"/>
    </row>
    <row r="57" spans="1:8" ht="14.65" customHeight="1" x14ac:dyDescent="0.35">
      <c r="A57" s="26"/>
      <c r="B57" s="9"/>
      <c r="C57" s="284" t="s">
        <v>77</v>
      </c>
      <c r="D57" s="293"/>
      <c r="E57" s="293"/>
      <c r="F57" s="293"/>
      <c r="G57" s="10"/>
      <c r="H57" s="11"/>
    </row>
    <row r="58" spans="1:8" x14ac:dyDescent="0.35">
      <c r="A58" s="26"/>
      <c r="B58" s="9"/>
      <c r="C58" s="10"/>
      <c r="D58" s="10"/>
      <c r="E58" s="183"/>
      <c r="F58" s="74"/>
      <c r="G58" s="10"/>
      <c r="H58" s="11"/>
    </row>
    <row r="59" spans="1:8" x14ac:dyDescent="0.35">
      <c r="A59" s="26"/>
      <c r="B59" s="27"/>
      <c r="C59" s="28"/>
      <c r="D59" s="1"/>
      <c r="E59" s="29" t="s">
        <v>136</v>
      </c>
      <c r="F59" s="57"/>
      <c r="G59" s="10"/>
      <c r="H59" s="11"/>
    </row>
    <row r="60" spans="1:8" x14ac:dyDescent="0.35">
      <c r="A60" s="26"/>
      <c r="B60" s="27"/>
      <c r="C60" s="28"/>
      <c r="D60" s="28"/>
      <c r="E60" s="75" t="str">
        <f>E11</f>
        <v>2020-21</v>
      </c>
      <c r="F60" s="76"/>
      <c r="G60" s="10"/>
      <c r="H60" s="11"/>
    </row>
    <row r="61" spans="1:8" x14ac:dyDescent="0.35">
      <c r="A61" s="26"/>
      <c r="B61" s="27"/>
      <c r="C61" s="28"/>
      <c r="D61" s="28"/>
      <c r="E61" s="30"/>
      <c r="F61" s="76"/>
      <c r="G61" s="10"/>
      <c r="H61" s="11"/>
    </row>
    <row r="62" spans="1:8" x14ac:dyDescent="0.35">
      <c r="A62" s="26"/>
      <c r="B62" s="39" t="str">
        <f>'5) Year 1-5 Staff Assumptions'!B50</f>
        <v>Administrative Staff</v>
      </c>
      <c r="C62" s="58" t="s">
        <v>118</v>
      </c>
      <c r="D62" s="28"/>
      <c r="E62" s="68"/>
      <c r="F62" s="63" t="s">
        <v>133</v>
      </c>
      <c r="G62" s="10"/>
      <c r="H62" s="11"/>
    </row>
    <row r="63" spans="1:8" x14ac:dyDescent="0.35">
      <c r="A63" s="26"/>
      <c r="B63" s="31" t="s">
        <v>214</v>
      </c>
      <c r="C63" s="90">
        <v>0.83</v>
      </c>
      <c r="D63" s="77"/>
      <c r="E63" s="87">
        <f>95000*0.83</f>
        <v>78850</v>
      </c>
      <c r="F63" s="165" t="s">
        <v>355</v>
      </c>
      <c r="G63" s="10"/>
      <c r="H63" s="11"/>
    </row>
    <row r="64" spans="1:8" x14ac:dyDescent="0.35">
      <c r="A64" s="26"/>
      <c r="B64" s="31" t="s">
        <v>215</v>
      </c>
      <c r="C64" s="90">
        <v>0</v>
      </c>
      <c r="D64" s="77"/>
      <c r="E64" s="87">
        <v>0</v>
      </c>
      <c r="F64" s="165"/>
      <c r="G64" s="10"/>
      <c r="H64" s="11"/>
    </row>
    <row r="65" spans="1:8" x14ac:dyDescent="0.35">
      <c r="A65" s="26"/>
      <c r="B65" s="31" t="s">
        <v>217</v>
      </c>
      <c r="C65" s="90">
        <v>0</v>
      </c>
      <c r="D65" s="77"/>
      <c r="E65" s="87">
        <v>0</v>
      </c>
      <c r="F65" s="165"/>
      <c r="G65" s="10"/>
      <c r="H65" s="11"/>
    </row>
    <row r="66" spans="1:8" x14ac:dyDescent="0.35">
      <c r="A66" s="26"/>
      <c r="B66" s="31" t="s">
        <v>216</v>
      </c>
      <c r="C66" s="90">
        <v>0.5</v>
      </c>
      <c r="D66" s="77"/>
      <c r="E66" s="87">
        <f>60000*0.5</f>
        <v>30000</v>
      </c>
      <c r="F66" s="165" t="s">
        <v>356</v>
      </c>
      <c r="G66" s="10"/>
      <c r="H66" s="11"/>
    </row>
    <row r="67" spans="1:8" x14ac:dyDescent="0.35">
      <c r="A67" s="26"/>
      <c r="B67" s="31" t="s">
        <v>210</v>
      </c>
      <c r="C67" s="90">
        <v>0</v>
      </c>
      <c r="D67" s="77"/>
      <c r="E67" s="87">
        <v>0</v>
      </c>
      <c r="F67" s="165"/>
      <c r="G67" s="10"/>
      <c r="H67" s="11"/>
    </row>
    <row r="68" spans="1:8" x14ac:dyDescent="0.35">
      <c r="A68" s="26"/>
      <c r="B68" s="39" t="str">
        <f>'5) Year 1-5 Staff Assumptions'!B56</f>
        <v>Total Administrative Compensation</v>
      </c>
      <c r="C68" s="79">
        <f>SUM(C63:C67)</f>
        <v>1.33</v>
      </c>
      <c r="D68" s="58"/>
      <c r="E68" s="80">
        <f>SUM(E63:E67)</f>
        <v>108850</v>
      </c>
      <c r="F68" s="168"/>
      <c r="G68" s="10"/>
      <c r="H68" s="11"/>
    </row>
    <row r="69" spans="1:8" x14ac:dyDescent="0.35">
      <c r="A69" s="26"/>
      <c r="B69" s="31"/>
      <c r="C69" s="82"/>
      <c r="D69" s="10"/>
      <c r="E69" s="83"/>
      <c r="F69" s="169"/>
      <c r="G69" s="10"/>
      <c r="H69" s="11"/>
    </row>
    <row r="70" spans="1:8" x14ac:dyDescent="0.35">
      <c r="A70" s="26"/>
      <c r="B70" s="39" t="str">
        <f>'5) Year 1-5 Staff Assumptions'!B58</f>
        <v>Instructional Staff</v>
      </c>
      <c r="C70" s="82"/>
      <c r="D70" s="82"/>
      <c r="E70" s="82"/>
      <c r="F70" s="170"/>
      <c r="G70" s="10"/>
      <c r="H70" s="11"/>
    </row>
    <row r="71" spans="1:8" x14ac:dyDescent="0.35">
      <c r="A71" s="26"/>
      <c r="B71" s="31" t="s">
        <v>219</v>
      </c>
      <c r="C71" s="90">
        <v>0</v>
      </c>
      <c r="D71" s="77"/>
      <c r="E71" s="87">
        <v>0</v>
      </c>
      <c r="F71" s="165"/>
      <c r="G71" s="10"/>
      <c r="H71" s="11"/>
    </row>
    <row r="72" spans="1:8" x14ac:dyDescent="0.35">
      <c r="A72" s="26"/>
      <c r="B72" s="31" t="s">
        <v>218</v>
      </c>
      <c r="C72" s="90">
        <v>0</v>
      </c>
      <c r="D72" s="77"/>
      <c r="E72" s="87">
        <v>0</v>
      </c>
      <c r="F72" s="165"/>
      <c r="G72" s="10"/>
      <c r="H72" s="11"/>
    </row>
    <row r="73" spans="1:8" x14ac:dyDescent="0.35">
      <c r="A73" s="26"/>
      <c r="B73" s="31" t="s">
        <v>211</v>
      </c>
      <c r="C73" s="90">
        <v>0</v>
      </c>
      <c r="D73" s="77"/>
      <c r="E73" s="87">
        <v>0</v>
      </c>
      <c r="F73" s="165"/>
      <c r="G73" s="10"/>
      <c r="H73" s="11"/>
    </row>
    <row r="74" spans="1:8" x14ac:dyDescent="0.35">
      <c r="A74" s="26"/>
      <c r="B74" s="31" t="s">
        <v>212</v>
      </c>
      <c r="C74" s="90">
        <v>0</v>
      </c>
      <c r="D74" s="77"/>
      <c r="E74" s="87">
        <v>0</v>
      </c>
      <c r="F74" s="165"/>
      <c r="G74" s="10"/>
      <c r="H74" s="11"/>
    </row>
    <row r="75" spans="1:8" x14ac:dyDescent="0.35">
      <c r="A75" s="26"/>
      <c r="B75" s="31" t="s">
        <v>210</v>
      </c>
      <c r="C75" s="90">
        <v>0</v>
      </c>
      <c r="D75" s="77"/>
      <c r="E75" s="87">
        <v>0</v>
      </c>
      <c r="F75" s="165"/>
      <c r="G75" s="10"/>
      <c r="H75" s="11"/>
    </row>
    <row r="76" spans="1:8" x14ac:dyDescent="0.35">
      <c r="A76" s="26"/>
      <c r="B76" s="39" t="str">
        <f>'5) Year 1-5 Staff Assumptions'!B64</f>
        <v>Total Instructional Compensation</v>
      </c>
      <c r="C76" s="79">
        <f>SUM(C71:C75)</f>
        <v>0</v>
      </c>
      <c r="D76" s="58"/>
      <c r="E76" s="80">
        <f>SUM(E71:E75)</f>
        <v>0</v>
      </c>
      <c r="F76" s="81"/>
      <c r="G76" s="10"/>
      <c r="H76" s="11"/>
    </row>
    <row r="77" spans="1:8" x14ac:dyDescent="0.35">
      <c r="A77" s="26"/>
      <c r="B77" s="31"/>
      <c r="C77" s="82"/>
      <c r="D77" s="36"/>
      <c r="E77" s="83"/>
      <c r="F77" s="83"/>
      <c r="G77" s="10"/>
      <c r="H77" s="11"/>
    </row>
    <row r="78" spans="1:8" x14ac:dyDescent="0.35">
      <c r="A78" s="26"/>
      <c r="B78" s="39" t="str">
        <f>'5) Year 1-5 Staff Assumptions'!B66</f>
        <v>Non-Instructional Staff</v>
      </c>
      <c r="C78" s="82"/>
      <c r="D78" s="82"/>
      <c r="E78" s="82"/>
      <c r="F78" s="82"/>
      <c r="G78" s="10"/>
      <c r="H78" s="11"/>
    </row>
    <row r="79" spans="1:8" x14ac:dyDescent="0.35">
      <c r="A79" s="26"/>
      <c r="B79" s="31" t="s">
        <v>220</v>
      </c>
      <c r="C79" s="90">
        <v>0</v>
      </c>
      <c r="D79" s="77"/>
      <c r="E79" s="87">
        <v>0</v>
      </c>
      <c r="F79" s="165"/>
      <c r="G79" s="10"/>
      <c r="H79" s="11"/>
    </row>
    <row r="80" spans="1:8" x14ac:dyDescent="0.35">
      <c r="A80" s="26"/>
      <c r="B80" s="31" t="s">
        <v>221</v>
      </c>
      <c r="C80" s="90">
        <v>0</v>
      </c>
      <c r="D80" s="77"/>
      <c r="E80" s="87">
        <v>0</v>
      </c>
      <c r="F80" s="165"/>
      <c r="G80" s="10"/>
      <c r="H80" s="11"/>
    </row>
    <row r="81" spans="1:8" x14ac:dyDescent="0.35">
      <c r="A81" s="26"/>
      <c r="B81" s="31" t="s">
        <v>213</v>
      </c>
      <c r="C81" s="90">
        <v>0</v>
      </c>
      <c r="D81" s="77"/>
      <c r="E81" s="87">
        <v>0</v>
      </c>
      <c r="F81" s="165"/>
      <c r="G81" s="10"/>
      <c r="H81" s="11"/>
    </row>
    <row r="82" spans="1:8" x14ac:dyDescent="0.35">
      <c r="A82" s="26"/>
      <c r="B82" s="31" t="s">
        <v>222</v>
      </c>
      <c r="C82" s="90">
        <v>0</v>
      </c>
      <c r="D82" s="77"/>
      <c r="E82" s="87">
        <v>0</v>
      </c>
      <c r="F82" s="165"/>
      <c r="G82" s="10"/>
      <c r="H82" s="11"/>
    </row>
    <row r="83" spans="1:8" x14ac:dyDescent="0.35">
      <c r="A83" s="26"/>
      <c r="B83" s="31" t="s">
        <v>210</v>
      </c>
      <c r="C83" s="90">
        <v>0</v>
      </c>
      <c r="D83" s="77"/>
      <c r="E83" s="87">
        <v>0</v>
      </c>
      <c r="F83" s="165"/>
      <c r="G83" s="10"/>
      <c r="H83" s="11"/>
    </row>
    <row r="84" spans="1:8" x14ac:dyDescent="0.35">
      <c r="A84" s="26"/>
      <c r="B84" s="39" t="str">
        <f>'5) Year 1-5 Staff Assumptions'!B72</f>
        <v>Total Non-Instructional  Compensation</v>
      </c>
      <c r="C84" s="79">
        <f>SUM(C79:C83)</f>
        <v>0</v>
      </c>
      <c r="D84" s="58"/>
      <c r="E84" s="80">
        <f>SUM(E79:E83)</f>
        <v>0</v>
      </c>
      <c r="F84" s="168"/>
      <c r="G84" s="10"/>
      <c r="H84" s="11"/>
    </row>
    <row r="85" spans="1:8" x14ac:dyDescent="0.35">
      <c r="A85" s="26"/>
      <c r="B85" s="31"/>
      <c r="C85" s="28"/>
      <c r="D85" s="28"/>
      <c r="E85" s="83"/>
      <c r="F85" s="169"/>
      <c r="G85" s="10"/>
      <c r="H85" s="11"/>
    </row>
    <row r="86" spans="1:8" x14ac:dyDescent="0.35">
      <c r="A86" s="26"/>
      <c r="B86" s="31" t="s">
        <v>198</v>
      </c>
      <c r="C86" s="28"/>
      <c r="D86" s="28"/>
      <c r="E86" s="88">
        <v>0</v>
      </c>
      <c r="F86" s="173"/>
      <c r="G86" s="10"/>
      <c r="H86" s="11"/>
    </row>
    <row r="87" spans="1:8" x14ac:dyDescent="0.35">
      <c r="A87" s="26"/>
      <c r="B87" s="31" t="s">
        <v>223</v>
      </c>
      <c r="C87" s="28"/>
      <c r="D87" s="28"/>
      <c r="E87" s="88">
        <v>0</v>
      </c>
      <c r="F87" s="173"/>
      <c r="G87" s="10"/>
      <c r="H87" s="11"/>
    </row>
    <row r="88" spans="1:8" x14ac:dyDescent="0.35">
      <c r="A88" s="26"/>
      <c r="B88" s="31" t="s">
        <v>223</v>
      </c>
      <c r="C88" s="28"/>
      <c r="D88" s="28"/>
      <c r="E88" s="88">
        <v>0</v>
      </c>
      <c r="F88" s="173"/>
      <c r="G88" s="10"/>
      <c r="H88" s="11"/>
    </row>
    <row r="89" spans="1:8" x14ac:dyDescent="0.35">
      <c r="A89" s="26"/>
      <c r="B89" s="31" t="s">
        <v>223</v>
      </c>
      <c r="C89" s="28"/>
      <c r="D89" s="28"/>
      <c r="E89" s="88">
        <v>0</v>
      </c>
      <c r="F89" s="173"/>
      <c r="G89" s="10"/>
      <c r="H89" s="11"/>
    </row>
    <row r="90" spans="1:8" x14ac:dyDescent="0.35">
      <c r="A90" s="26"/>
      <c r="B90" s="31"/>
      <c r="C90" s="10"/>
      <c r="D90" s="28"/>
      <c r="E90" s="153"/>
      <c r="F90" s="175"/>
      <c r="G90" s="10"/>
      <c r="H90" s="11"/>
    </row>
    <row r="91" spans="1:8" x14ac:dyDescent="0.35">
      <c r="A91" s="26"/>
      <c r="B91" s="39" t="s">
        <v>206</v>
      </c>
      <c r="C91" s="79">
        <f>C68+C76+C84</f>
        <v>1.33</v>
      </c>
      <c r="D91" s="28"/>
      <c r="E91" s="83"/>
      <c r="F91" s="72"/>
      <c r="G91" s="10"/>
      <c r="H91" s="11"/>
    </row>
    <row r="92" spans="1:8" ht="15" thickBot="1" x14ac:dyDescent="0.4">
      <c r="A92" s="26"/>
      <c r="B92" s="39" t="str">
        <f>'5) Year 1-5 Staff Assumptions'!B79</f>
        <v>Total Compensation</v>
      </c>
      <c r="C92" s="58"/>
      <c r="D92" s="58"/>
      <c r="E92" s="71">
        <f>E68+E76+E84+SUM(E86:E89)</f>
        <v>108850</v>
      </c>
      <c r="F92" s="72"/>
      <c r="G92" s="10"/>
      <c r="H92" s="11"/>
    </row>
    <row r="93" spans="1:8" ht="15.5" thickTop="1" thickBot="1" x14ac:dyDescent="0.4">
      <c r="A93" s="26"/>
      <c r="B93" s="199"/>
      <c r="C93" s="188"/>
      <c r="D93" s="188"/>
      <c r="E93" s="200"/>
      <c r="F93" s="201"/>
      <c r="G93" s="23"/>
      <c r="H93" s="24"/>
    </row>
    <row r="94" spans="1:8" x14ac:dyDescent="0.35">
      <c r="A94" s="26"/>
      <c r="B94" s="191"/>
      <c r="C94" s="192"/>
      <c r="D94" s="192"/>
      <c r="E94" s="193"/>
      <c r="F94" s="206"/>
      <c r="G94" s="7"/>
      <c r="H94" s="8"/>
    </row>
    <row r="95" spans="1:8" ht="14.65" customHeight="1" x14ac:dyDescent="0.35">
      <c r="A95" s="26"/>
      <c r="B95" s="9"/>
      <c r="C95" s="284" t="s">
        <v>119</v>
      </c>
      <c r="D95" s="293"/>
      <c r="E95" s="293"/>
      <c r="F95" s="293"/>
      <c r="G95" s="10"/>
      <c r="H95" s="11"/>
    </row>
    <row r="96" spans="1:8" ht="14.65" customHeight="1" x14ac:dyDescent="0.35">
      <c r="A96" s="26"/>
      <c r="B96" s="9"/>
      <c r="C96" s="10"/>
      <c r="D96" s="10"/>
      <c r="E96" s="10"/>
      <c r="F96" s="36"/>
      <c r="G96" s="10"/>
      <c r="H96" s="11"/>
    </row>
    <row r="97" spans="1:8" x14ac:dyDescent="0.35">
      <c r="A97" s="26"/>
      <c r="B97" s="9"/>
      <c r="C97" s="10"/>
      <c r="D97" s="10"/>
      <c r="E97" s="29" t="s">
        <v>136</v>
      </c>
      <c r="F97" s="57"/>
      <c r="G97" s="10"/>
      <c r="H97" s="11"/>
    </row>
    <row r="98" spans="1:8" x14ac:dyDescent="0.35">
      <c r="A98" s="35"/>
      <c r="B98" s="27"/>
      <c r="C98" s="58"/>
      <c r="D98" s="1"/>
      <c r="E98" s="75" t="str">
        <f>E11</f>
        <v>2020-21</v>
      </c>
      <c r="F98" s="76"/>
      <c r="G98" s="10"/>
      <c r="H98" s="11"/>
    </row>
    <row r="99" spans="1:8" x14ac:dyDescent="0.35">
      <c r="A99" s="35"/>
      <c r="B99" s="27"/>
      <c r="C99" s="58"/>
      <c r="D99" s="1"/>
      <c r="E99" s="30"/>
      <c r="F99" s="36"/>
      <c r="G99" s="10"/>
      <c r="H99" s="11"/>
    </row>
    <row r="100" spans="1:8" x14ac:dyDescent="0.35">
      <c r="A100" s="35"/>
      <c r="B100" s="27"/>
      <c r="C100" s="58" t="s">
        <v>79</v>
      </c>
      <c r="D100" s="1"/>
      <c r="E100" s="30"/>
      <c r="F100" s="63" t="s">
        <v>133</v>
      </c>
      <c r="G100" s="10"/>
      <c r="H100" s="11"/>
    </row>
    <row r="101" spans="1:8" x14ac:dyDescent="0.35">
      <c r="A101" s="44"/>
      <c r="B101" s="49" t="str">
        <f>'5) Year 1-5 Staff Assumptions'!B86</f>
        <v xml:space="preserve">Social Security </v>
      </c>
      <c r="C101" s="91">
        <v>6.2E-2</v>
      </c>
      <c r="D101" s="61"/>
      <c r="E101" s="87">
        <f>C101*E92</f>
        <v>6748.7</v>
      </c>
      <c r="F101" s="165" t="s">
        <v>378</v>
      </c>
      <c r="G101" s="10"/>
      <c r="H101" s="11"/>
    </row>
    <row r="102" spans="1:8" x14ac:dyDescent="0.35">
      <c r="A102" s="26"/>
      <c r="B102" s="49" t="str">
        <f>'5) Year 1-5 Staff Assumptions'!B87</f>
        <v>Medicare</v>
      </c>
      <c r="C102" s="91">
        <v>1.4500000000000001E-2</v>
      </c>
      <c r="D102" s="61"/>
      <c r="E102" s="87">
        <f>C102*E92</f>
        <v>1578.325</v>
      </c>
      <c r="F102" s="165" t="s">
        <v>379</v>
      </c>
      <c r="G102" s="10"/>
      <c r="H102" s="11"/>
    </row>
    <row r="103" spans="1:8" x14ac:dyDescent="0.35">
      <c r="A103" s="35"/>
      <c r="B103" s="49" t="str">
        <f>'5) Year 1-5 Staff Assumptions'!B88</f>
        <v>State Unemployment</v>
      </c>
      <c r="C103" s="246">
        <v>400</v>
      </c>
      <c r="D103" s="61"/>
      <c r="E103" s="87">
        <f>400*2</f>
        <v>800</v>
      </c>
      <c r="F103" s="165" t="s">
        <v>275</v>
      </c>
      <c r="G103" s="10"/>
      <c r="H103" s="11"/>
    </row>
    <row r="104" spans="1:8" x14ac:dyDescent="0.35">
      <c r="A104" s="44"/>
      <c r="B104" s="49" t="str">
        <f>'5) Year 1-5 Staff Assumptions'!B89</f>
        <v>Disability/Life Insurance</v>
      </c>
      <c r="C104" s="91">
        <v>0</v>
      </c>
      <c r="D104" s="61"/>
      <c r="E104" s="87">
        <v>0</v>
      </c>
      <c r="F104" s="165" t="s">
        <v>277</v>
      </c>
      <c r="G104" s="10"/>
      <c r="H104" s="11"/>
    </row>
    <row r="105" spans="1:8" x14ac:dyDescent="0.35">
      <c r="A105" s="44"/>
      <c r="B105" s="49" t="str">
        <f>'5) Year 1-5 Staff Assumptions'!B90</f>
        <v>Workers Compensation Insurance</v>
      </c>
      <c r="C105" s="91">
        <v>0.01</v>
      </c>
      <c r="D105" s="61"/>
      <c r="E105" s="87">
        <f>E92*C105</f>
        <v>1088.5</v>
      </c>
      <c r="F105" s="165" t="s">
        <v>276</v>
      </c>
      <c r="G105" s="10"/>
      <c r="H105" s="11"/>
    </row>
    <row r="106" spans="1:8" x14ac:dyDescent="0.35">
      <c r="A106" s="44"/>
      <c r="B106" s="49" t="str">
        <f>'5) Year 1-5 Staff Assumptions'!B91</f>
        <v>Other Fringe Benefits</v>
      </c>
      <c r="C106" s="91">
        <v>0</v>
      </c>
      <c r="D106" s="61"/>
      <c r="E106" s="87">
        <v>0</v>
      </c>
      <c r="F106" s="165" t="s">
        <v>277</v>
      </c>
      <c r="G106" s="10"/>
      <c r="H106" s="11"/>
    </row>
    <row r="107" spans="1:8" x14ac:dyDescent="0.35">
      <c r="A107" s="26"/>
      <c r="B107" s="49" t="str">
        <f>'5) Year 1-5 Staff Assumptions'!B96</f>
        <v>Medical Insurance</v>
      </c>
      <c r="C107" s="87">
        <v>300</v>
      </c>
      <c r="D107" s="61"/>
      <c r="E107" s="87">
        <f>(C107*10)+(C107*6)</f>
        <v>4800</v>
      </c>
      <c r="F107" s="165" t="s">
        <v>278</v>
      </c>
      <c r="G107" s="10"/>
      <c r="H107" s="11"/>
    </row>
    <row r="108" spans="1:8" x14ac:dyDescent="0.35">
      <c r="A108" s="26"/>
      <c r="B108" s="49" t="str">
        <f>'5) Year 1-5 Staff Assumptions'!B97</f>
        <v>Dental Insurance</v>
      </c>
      <c r="C108" s="87">
        <v>75</v>
      </c>
      <c r="D108" s="61"/>
      <c r="E108" s="87">
        <f>(C108*10)+(C108*6)</f>
        <v>1200</v>
      </c>
      <c r="F108" s="165" t="s">
        <v>279</v>
      </c>
      <c r="G108" s="10"/>
      <c r="H108" s="11"/>
    </row>
    <row r="109" spans="1:8" x14ac:dyDescent="0.35">
      <c r="A109" s="26"/>
      <c r="B109" s="49" t="str">
        <f>'5) Year 1-5 Staff Assumptions'!B98</f>
        <v>Vision Insurance</v>
      </c>
      <c r="C109" s="87">
        <v>25</v>
      </c>
      <c r="D109" s="61"/>
      <c r="E109" s="87">
        <f>(C109*10)+(C109*6)</f>
        <v>400</v>
      </c>
      <c r="F109" s="165" t="s">
        <v>280</v>
      </c>
      <c r="G109" s="10"/>
      <c r="H109" s="11"/>
    </row>
    <row r="110" spans="1:8" x14ac:dyDescent="0.35">
      <c r="A110" s="35"/>
      <c r="B110" s="49" t="str">
        <f>'5) Year 1-5 Staff Assumptions'!B105</f>
        <v>Other Retirement</v>
      </c>
      <c r="C110" s="91">
        <v>0</v>
      </c>
      <c r="D110" s="61"/>
      <c r="E110" s="87">
        <f>C110*E92</f>
        <v>0</v>
      </c>
      <c r="F110" s="165" t="s">
        <v>277</v>
      </c>
      <c r="G110" s="10"/>
      <c r="H110" s="11"/>
    </row>
    <row r="111" spans="1:8" x14ac:dyDescent="0.35">
      <c r="B111" s="9"/>
      <c r="C111" s="10"/>
      <c r="D111" s="10"/>
      <c r="E111" s="10"/>
      <c r="F111" s="36"/>
      <c r="G111" s="10"/>
      <c r="H111" s="11"/>
    </row>
    <row r="112" spans="1:8" ht="15" thickBot="1" x14ac:dyDescent="0.4">
      <c r="B112" s="39" t="s">
        <v>122</v>
      </c>
      <c r="C112" s="58"/>
      <c r="D112" s="58"/>
      <c r="E112" s="71">
        <f>SUM(E101:E110)</f>
        <v>16615.525000000001</v>
      </c>
      <c r="F112" s="72"/>
      <c r="G112" s="10"/>
      <c r="H112" s="11"/>
    </row>
    <row r="113" spans="1:8" ht="15.5" thickTop="1" thickBot="1" x14ac:dyDescent="0.4">
      <c r="B113" s="202"/>
      <c r="C113" s="203"/>
      <c r="D113" s="203"/>
      <c r="E113" s="204"/>
      <c r="F113" s="205"/>
      <c r="G113" s="23"/>
      <c r="H113" s="24"/>
    </row>
    <row r="114" spans="1:8" x14ac:dyDescent="0.35">
      <c r="B114" s="207"/>
      <c r="C114" s="208"/>
      <c r="D114" s="208"/>
      <c r="E114" s="209"/>
      <c r="F114" s="210"/>
      <c r="G114" s="7"/>
      <c r="H114" s="8"/>
    </row>
    <row r="115" spans="1:8" ht="15" customHeight="1" x14ac:dyDescent="0.35">
      <c r="B115" s="39"/>
      <c r="C115" s="284" t="s">
        <v>128</v>
      </c>
      <c r="D115" s="303"/>
      <c r="E115" s="303"/>
      <c r="F115" s="303"/>
      <c r="G115" s="10"/>
      <c r="H115" s="11"/>
    </row>
    <row r="116" spans="1:8" x14ac:dyDescent="0.35">
      <c r="B116" s="39"/>
      <c r="C116" s="58"/>
      <c r="D116" s="58"/>
      <c r="E116" s="58"/>
      <c r="F116" s="84"/>
      <c r="G116" s="58"/>
      <c r="H116" s="11"/>
    </row>
    <row r="117" spans="1:8" x14ac:dyDescent="0.35">
      <c r="B117" s="39"/>
      <c r="C117" s="58"/>
      <c r="D117" s="58"/>
      <c r="E117" s="29" t="s">
        <v>136</v>
      </c>
      <c r="F117" s="57"/>
      <c r="G117" s="58"/>
      <c r="H117" s="11"/>
    </row>
    <row r="118" spans="1:8" x14ac:dyDescent="0.35">
      <c r="B118" s="39"/>
      <c r="C118" s="58"/>
      <c r="D118" s="58"/>
      <c r="E118" s="75" t="str">
        <f>E11</f>
        <v>2020-21</v>
      </c>
      <c r="F118" s="76"/>
      <c r="G118" s="58"/>
      <c r="H118" s="11"/>
    </row>
    <row r="119" spans="1:8" hidden="1" x14ac:dyDescent="0.35">
      <c r="A119" s="26"/>
      <c r="B119" s="27"/>
      <c r="C119" s="58" t="s">
        <v>131</v>
      </c>
      <c r="D119" s="1"/>
      <c r="E119" s="59">
        <v>0</v>
      </c>
      <c r="F119" s="36"/>
      <c r="G119" s="10"/>
      <c r="H119" s="11"/>
    </row>
    <row r="120" spans="1:8" hidden="1" x14ac:dyDescent="0.35">
      <c r="A120" s="26"/>
      <c r="B120" s="27"/>
      <c r="C120" s="61" t="s">
        <v>94</v>
      </c>
      <c r="D120" s="1"/>
      <c r="E120" s="62">
        <f>100%+E119</f>
        <v>1</v>
      </c>
      <c r="F120" s="62"/>
      <c r="G120" s="10"/>
      <c r="H120" s="11"/>
    </row>
    <row r="121" spans="1:8" x14ac:dyDescent="0.35">
      <c r="B121" s="39"/>
      <c r="C121" s="58"/>
      <c r="D121" s="58"/>
      <c r="E121" s="73"/>
      <c r="F121" s="72"/>
      <c r="G121" s="10"/>
      <c r="H121" s="11"/>
    </row>
    <row r="122" spans="1:8" x14ac:dyDescent="0.35">
      <c r="B122" s="39" t="s">
        <v>123</v>
      </c>
      <c r="C122" s="58"/>
      <c r="D122" s="58"/>
      <c r="E122" s="73"/>
      <c r="F122" s="63" t="s">
        <v>133</v>
      </c>
      <c r="G122" s="10"/>
      <c r="H122" s="11"/>
    </row>
    <row r="123" spans="1:8" x14ac:dyDescent="0.35">
      <c r="B123" s="89" t="s">
        <v>234</v>
      </c>
      <c r="C123" s="87">
        <v>20000</v>
      </c>
      <c r="D123" s="10"/>
      <c r="E123" s="87">
        <f>C123</f>
        <v>20000</v>
      </c>
      <c r="F123" s="165" t="s">
        <v>380</v>
      </c>
      <c r="G123" s="10"/>
      <c r="H123" s="11"/>
    </row>
    <row r="124" spans="1:8" x14ac:dyDescent="0.35">
      <c r="B124" s="89" t="s">
        <v>239</v>
      </c>
      <c r="C124" s="87">
        <v>2000</v>
      </c>
      <c r="D124" s="10"/>
      <c r="E124" s="87">
        <f>C124*6</f>
        <v>12000</v>
      </c>
      <c r="F124" s="165" t="s">
        <v>358</v>
      </c>
      <c r="G124" s="10"/>
      <c r="H124" s="11"/>
    </row>
    <row r="125" spans="1:8" x14ac:dyDescent="0.35">
      <c r="B125" s="89" t="s">
        <v>237</v>
      </c>
      <c r="C125" s="87">
        <v>0</v>
      </c>
      <c r="D125" s="10"/>
      <c r="E125" s="87">
        <v>0</v>
      </c>
      <c r="F125" s="165" t="s">
        <v>281</v>
      </c>
      <c r="G125" s="10"/>
      <c r="H125" s="11"/>
    </row>
    <row r="126" spans="1:8" x14ac:dyDescent="0.35">
      <c r="B126" s="89" t="s">
        <v>230</v>
      </c>
      <c r="C126" s="87">
        <v>2500</v>
      </c>
      <c r="D126" s="10"/>
      <c r="E126" s="87">
        <f>C126</f>
        <v>2500</v>
      </c>
      <c r="F126" s="165" t="s">
        <v>381</v>
      </c>
      <c r="G126" s="10"/>
      <c r="H126" s="11"/>
    </row>
    <row r="127" spans="1:8" x14ac:dyDescent="0.35">
      <c r="B127" s="89" t="s">
        <v>261</v>
      </c>
      <c r="C127" s="87">
        <v>0</v>
      </c>
      <c r="D127" s="10"/>
      <c r="E127" s="87">
        <v>0</v>
      </c>
      <c r="F127" s="165" t="s">
        <v>281</v>
      </c>
      <c r="G127" s="10"/>
      <c r="H127" s="11"/>
    </row>
    <row r="128" spans="1:8" x14ac:dyDescent="0.35">
      <c r="B128" s="89" t="s">
        <v>238</v>
      </c>
      <c r="C128" s="87">
        <v>0</v>
      </c>
      <c r="D128" s="10"/>
      <c r="E128" s="87">
        <v>0</v>
      </c>
      <c r="F128" s="165" t="s">
        <v>281</v>
      </c>
      <c r="G128" s="10"/>
      <c r="H128" s="11"/>
    </row>
    <row r="129" spans="2:8" x14ac:dyDescent="0.35">
      <c r="B129" s="89" t="s">
        <v>269</v>
      </c>
      <c r="C129" s="87">
        <v>50</v>
      </c>
      <c r="D129" s="10"/>
      <c r="E129" s="87">
        <f>C129*10</f>
        <v>500</v>
      </c>
      <c r="F129" s="165" t="s">
        <v>357</v>
      </c>
      <c r="G129" s="10"/>
      <c r="H129" s="11"/>
    </row>
    <row r="130" spans="2:8" x14ac:dyDescent="0.35">
      <c r="B130" s="89" t="s">
        <v>262</v>
      </c>
      <c r="C130" s="87">
        <v>150</v>
      </c>
      <c r="D130" s="10"/>
      <c r="E130" s="87">
        <f>C130*10</f>
        <v>1500</v>
      </c>
      <c r="F130" s="165" t="s">
        <v>382</v>
      </c>
      <c r="G130" s="10"/>
      <c r="H130" s="11"/>
    </row>
    <row r="131" spans="2:8" x14ac:dyDescent="0.35">
      <c r="B131" s="89" t="s">
        <v>241</v>
      </c>
      <c r="C131" s="87">
        <v>0</v>
      </c>
      <c r="D131" s="10"/>
      <c r="E131" s="87">
        <v>0</v>
      </c>
      <c r="F131" s="165"/>
      <c r="G131" s="10"/>
      <c r="H131" s="11"/>
    </row>
    <row r="132" spans="2:8" x14ac:dyDescent="0.35">
      <c r="B132" s="89" t="s">
        <v>240</v>
      </c>
      <c r="C132" s="87">
        <v>0</v>
      </c>
      <c r="D132" s="10"/>
      <c r="E132" s="87">
        <v>0</v>
      </c>
      <c r="F132" s="165"/>
      <c r="G132" s="10"/>
      <c r="H132" s="11"/>
    </row>
    <row r="133" spans="2:8" x14ac:dyDescent="0.35">
      <c r="B133" s="89" t="s">
        <v>258</v>
      </c>
      <c r="C133" s="87">
        <v>0</v>
      </c>
      <c r="D133" s="10"/>
      <c r="E133" s="87">
        <v>0</v>
      </c>
      <c r="F133" s="165"/>
      <c r="G133" s="10"/>
      <c r="H133" s="11"/>
    </row>
    <row r="134" spans="2:8" x14ac:dyDescent="0.35">
      <c r="B134" s="89" t="s">
        <v>263</v>
      </c>
      <c r="C134" s="87">
        <v>0</v>
      </c>
      <c r="D134" s="10"/>
      <c r="E134" s="87">
        <v>0</v>
      </c>
      <c r="F134" s="165"/>
      <c r="G134" s="10"/>
      <c r="H134" s="11"/>
    </row>
    <row r="135" spans="2:8" x14ac:dyDescent="0.35">
      <c r="B135" s="89" t="s">
        <v>264</v>
      </c>
      <c r="C135" s="87">
        <v>4000</v>
      </c>
      <c r="D135" s="10"/>
      <c r="E135" s="87">
        <f>C135</f>
        <v>4000</v>
      </c>
      <c r="F135" s="165" t="s">
        <v>360</v>
      </c>
      <c r="G135" s="10"/>
      <c r="H135" s="11"/>
    </row>
    <row r="136" spans="2:8" x14ac:dyDescent="0.35">
      <c r="B136" s="89" t="s">
        <v>236</v>
      </c>
      <c r="C136" s="87">
        <v>20</v>
      </c>
      <c r="D136" s="10"/>
      <c r="E136" s="87">
        <f>C136*12</f>
        <v>240</v>
      </c>
      <c r="F136" s="165" t="s">
        <v>388</v>
      </c>
      <c r="G136" s="10"/>
      <c r="H136" s="11"/>
    </row>
    <row r="137" spans="2:8" x14ac:dyDescent="0.35">
      <c r="B137" s="89" t="s">
        <v>235</v>
      </c>
      <c r="C137" s="87">
        <v>20</v>
      </c>
      <c r="D137" s="10"/>
      <c r="E137" s="87">
        <f>C137*12</f>
        <v>240</v>
      </c>
      <c r="F137" s="165" t="s">
        <v>388</v>
      </c>
      <c r="G137" s="10"/>
      <c r="H137" s="11"/>
    </row>
    <row r="138" spans="2:8" x14ac:dyDescent="0.35">
      <c r="B138" s="39"/>
      <c r="C138" s="58"/>
      <c r="D138" s="58"/>
      <c r="E138" s="73"/>
      <c r="F138" s="171"/>
      <c r="G138" s="10"/>
      <c r="H138" s="11"/>
    </row>
    <row r="139" spans="2:8" x14ac:dyDescent="0.35">
      <c r="B139" s="39" t="s">
        <v>124</v>
      </c>
      <c r="C139" s="58"/>
      <c r="D139" s="58"/>
      <c r="E139" s="73"/>
      <c r="F139" s="171"/>
      <c r="G139" s="10"/>
      <c r="H139" s="11"/>
    </row>
    <row r="140" spans="2:8" x14ac:dyDescent="0.35">
      <c r="B140" s="89" t="s">
        <v>265</v>
      </c>
      <c r="C140" s="87">
        <v>0</v>
      </c>
      <c r="D140" s="10"/>
      <c r="E140" s="87">
        <v>0</v>
      </c>
      <c r="F140" s="165" t="s">
        <v>309</v>
      </c>
      <c r="G140" s="10"/>
      <c r="H140" s="11"/>
    </row>
    <row r="141" spans="2:8" x14ac:dyDescent="0.35">
      <c r="B141" s="89" t="s">
        <v>260</v>
      </c>
      <c r="C141" s="87">
        <v>0</v>
      </c>
      <c r="D141" s="10"/>
      <c r="E141" s="87">
        <v>0</v>
      </c>
      <c r="F141" s="165" t="s">
        <v>309</v>
      </c>
      <c r="G141" s="10"/>
      <c r="H141" s="11"/>
    </row>
    <row r="142" spans="2:8" x14ac:dyDescent="0.35">
      <c r="B142" s="89" t="s">
        <v>244</v>
      </c>
      <c r="C142" s="87">
        <v>0</v>
      </c>
      <c r="D142" s="10"/>
      <c r="E142" s="87">
        <v>0</v>
      </c>
      <c r="F142" s="165" t="s">
        <v>309</v>
      </c>
      <c r="G142" s="10"/>
      <c r="H142" s="11"/>
    </row>
    <row r="143" spans="2:8" x14ac:dyDescent="0.35">
      <c r="B143" s="89" t="s">
        <v>267</v>
      </c>
      <c r="C143" s="87">
        <v>0</v>
      </c>
      <c r="D143" s="10"/>
      <c r="E143" s="87">
        <v>0</v>
      </c>
      <c r="F143" s="165" t="s">
        <v>309</v>
      </c>
      <c r="G143" s="10"/>
      <c r="H143" s="11"/>
    </row>
    <row r="144" spans="2:8" x14ac:dyDescent="0.35">
      <c r="B144" s="89" t="s">
        <v>248</v>
      </c>
      <c r="C144" s="87">
        <v>0</v>
      </c>
      <c r="D144" s="10"/>
      <c r="E144" s="87">
        <v>0</v>
      </c>
      <c r="F144" s="165" t="s">
        <v>309</v>
      </c>
      <c r="G144" s="10"/>
      <c r="H144" s="11"/>
    </row>
    <row r="145" spans="2:8" x14ac:dyDescent="0.35">
      <c r="B145" s="89" t="s">
        <v>243</v>
      </c>
      <c r="C145" s="87">
        <v>500</v>
      </c>
      <c r="D145" s="10"/>
      <c r="E145" s="87">
        <f>C145*9</f>
        <v>4500</v>
      </c>
      <c r="F145" s="165" t="s">
        <v>386</v>
      </c>
      <c r="G145" s="10"/>
      <c r="H145" s="11"/>
    </row>
    <row r="146" spans="2:8" x14ac:dyDescent="0.35">
      <c r="B146" s="89" t="s">
        <v>257</v>
      </c>
      <c r="C146" s="87">
        <v>0</v>
      </c>
      <c r="D146" s="10"/>
      <c r="E146" s="87">
        <f>C146*40</f>
        <v>0</v>
      </c>
      <c r="F146" s="165" t="s">
        <v>309</v>
      </c>
      <c r="G146" s="10"/>
      <c r="H146" s="11"/>
    </row>
    <row r="147" spans="2:8" x14ac:dyDescent="0.35">
      <c r="B147" s="89" t="s">
        <v>256</v>
      </c>
      <c r="C147" s="87">
        <v>900</v>
      </c>
      <c r="D147" s="10"/>
      <c r="E147" s="87">
        <f>C147*2</f>
        <v>1800</v>
      </c>
      <c r="F147" s="165" t="s">
        <v>383</v>
      </c>
      <c r="G147" s="10"/>
      <c r="H147" s="11"/>
    </row>
    <row r="148" spans="2:8" x14ac:dyDescent="0.35">
      <c r="B148" s="89" t="s">
        <v>229</v>
      </c>
      <c r="C148" s="87">
        <v>100</v>
      </c>
      <c r="D148" s="10"/>
      <c r="E148" s="87">
        <f>C148*12</f>
        <v>1200</v>
      </c>
      <c r="F148" s="165" t="s">
        <v>389</v>
      </c>
      <c r="G148" s="10"/>
      <c r="H148" s="11"/>
    </row>
    <row r="149" spans="2:8" x14ac:dyDescent="0.35">
      <c r="B149" s="89" t="s">
        <v>242</v>
      </c>
      <c r="C149" s="87">
        <v>40</v>
      </c>
      <c r="D149" s="10"/>
      <c r="E149" s="87">
        <f>C149*10</f>
        <v>400</v>
      </c>
      <c r="F149" s="165" t="s">
        <v>387</v>
      </c>
      <c r="G149" s="10"/>
      <c r="H149" s="11"/>
    </row>
    <row r="150" spans="2:8" x14ac:dyDescent="0.35">
      <c r="B150" s="89" t="s">
        <v>231</v>
      </c>
      <c r="C150" s="87">
        <v>5000</v>
      </c>
      <c r="D150" s="10"/>
      <c r="E150" s="87">
        <f>C150</f>
        <v>5000</v>
      </c>
      <c r="F150" s="165" t="s">
        <v>384</v>
      </c>
      <c r="G150" s="10"/>
      <c r="H150" s="11"/>
    </row>
    <row r="151" spans="2:8" x14ac:dyDescent="0.35">
      <c r="B151" s="89" t="s">
        <v>245</v>
      </c>
      <c r="C151" s="87">
        <v>0</v>
      </c>
      <c r="D151" s="10"/>
      <c r="E151" s="87">
        <f>C151*120</f>
        <v>0</v>
      </c>
      <c r="F151" s="165" t="s">
        <v>309</v>
      </c>
      <c r="G151" s="10"/>
      <c r="H151" s="11"/>
    </row>
    <row r="152" spans="2:8" x14ac:dyDescent="0.35">
      <c r="B152" s="89" t="s">
        <v>247</v>
      </c>
      <c r="C152" s="87">
        <v>0</v>
      </c>
      <c r="D152" s="10"/>
      <c r="E152" s="87">
        <v>0</v>
      </c>
      <c r="F152" s="165"/>
      <c r="G152" s="10"/>
      <c r="H152" s="11"/>
    </row>
    <row r="153" spans="2:8" x14ac:dyDescent="0.35">
      <c r="B153" s="89" t="s">
        <v>266</v>
      </c>
      <c r="C153" s="87">
        <v>0</v>
      </c>
      <c r="D153" s="10"/>
      <c r="E153" s="87">
        <v>0</v>
      </c>
      <c r="F153" s="165"/>
      <c r="G153" s="10"/>
      <c r="H153" s="11"/>
    </row>
    <row r="154" spans="2:8" x14ac:dyDescent="0.35">
      <c r="B154" s="89" t="s">
        <v>268</v>
      </c>
      <c r="C154" s="87">
        <v>0</v>
      </c>
      <c r="D154" s="10"/>
      <c r="E154" s="87">
        <v>0</v>
      </c>
      <c r="F154" s="165"/>
      <c r="G154" s="10"/>
      <c r="H154" s="11"/>
    </row>
    <row r="155" spans="2:8" ht="15" thickBot="1" x14ac:dyDescent="0.4">
      <c r="B155" s="202"/>
      <c r="C155" s="203"/>
      <c r="D155" s="203"/>
      <c r="E155" s="204"/>
      <c r="F155" s="211"/>
      <c r="G155" s="23"/>
      <c r="H155" s="24"/>
    </row>
    <row r="156" spans="2:8" x14ac:dyDescent="0.35">
      <c r="B156" s="207" t="s">
        <v>127</v>
      </c>
      <c r="C156" s="208"/>
      <c r="D156" s="208"/>
      <c r="E156" s="209"/>
      <c r="F156" s="212"/>
      <c r="G156" s="7"/>
      <c r="H156" s="8"/>
    </row>
    <row r="157" spans="2:8" x14ac:dyDescent="0.35">
      <c r="B157" s="89" t="s">
        <v>249</v>
      </c>
      <c r="C157" s="87">
        <v>5</v>
      </c>
      <c r="D157" s="10"/>
      <c r="E157" s="87">
        <f>C157*10000/12*3</f>
        <v>12500</v>
      </c>
      <c r="F157" s="165" t="s">
        <v>347</v>
      </c>
      <c r="G157" s="10"/>
      <c r="H157" s="11"/>
    </row>
    <row r="158" spans="2:8" x14ac:dyDescent="0.35">
      <c r="B158" s="89" t="s">
        <v>250</v>
      </c>
      <c r="C158" s="87">
        <v>2</v>
      </c>
      <c r="D158" s="10"/>
      <c r="E158" s="87">
        <f>C158*10000/12*3</f>
        <v>5000</v>
      </c>
      <c r="F158" s="165" t="s">
        <v>348</v>
      </c>
      <c r="G158" s="10"/>
      <c r="H158" s="11"/>
    </row>
    <row r="159" spans="2:8" x14ac:dyDescent="0.35">
      <c r="B159" s="89" t="s">
        <v>251</v>
      </c>
      <c r="C159" s="87">
        <v>0</v>
      </c>
      <c r="D159" s="10"/>
      <c r="E159" s="87">
        <v>0</v>
      </c>
      <c r="F159" s="165"/>
      <c r="G159" s="10"/>
      <c r="H159" s="11"/>
    </row>
    <row r="160" spans="2:8" x14ac:dyDescent="0.35">
      <c r="B160" s="89" t="s">
        <v>252</v>
      </c>
      <c r="C160" s="87">
        <v>0</v>
      </c>
      <c r="D160" s="10"/>
      <c r="E160" s="87">
        <v>0</v>
      </c>
      <c r="F160" s="165"/>
      <c r="G160" s="10"/>
      <c r="H160" s="11"/>
    </row>
    <row r="161" spans="2:8" x14ac:dyDescent="0.35">
      <c r="B161" s="89" t="s">
        <v>253</v>
      </c>
      <c r="C161" s="87">
        <v>0</v>
      </c>
      <c r="D161" s="10"/>
      <c r="E161" s="87">
        <f>C161*11</f>
        <v>0</v>
      </c>
      <c r="F161" s="165"/>
      <c r="G161" s="10"/>
      <c r="H161" s="11"/>
    </row>
    <row r="162" spans="2:8" x14ac:dyDescent="0.35">
      <c r="B162" s="89" t="s">
        <v>254</v>
      </c>
      <c r="C162" s="87">
        <v>0</v>
      </c>
      <c r="D162" s="10"/>
      <c r="E162" s="87">
        <f>C162*4</f>
        <v>0</v>
      </c>
      <c r="F162" s="165"/>
      <c r="G162" s="10"/>
      <c r="H162" s="11"/>
    </row>
    <row r="163" spans="2:8" x14ac:dyDescent="0.35">
      <c r="B163" s="89" t="s">
        <v>255</v>
      </c>
      <c r="C163" s="87">
        <v>0</v>
      </c>
      <c r="D163" s="10"/>
      <c r="E163" s="87">
        <v>0</v>
      </c>
      <c r="F163" s="165"/>
      <c r="G163" s="10"/>
      <c r="H163" s="11"/>
    </row>
    <row r="164" spans="2:8" x14ac:dyDescent="0.35">
      <c r="B164" s="89" t="s">
        <v>259</v>
      </c>
      <c r="C164" s="87">
        <v>0</v>
      </c>
      <c r="D164" s="10"/>
      <c r="E164" s="87">
        <v>0</v>
      </c>
      <c r="F164" s="165"/>
      <c r="G164" s="10"/>
      <c r="H164" s="11"/>
    </row>
    <row r="165" spans="2:8" x14ac:dyDescent="0.35">
      <c r="B165" s="89" t="s">
        <v>246</v>
      </c>
      <c r="C165" s="87">
        <v>0</v>
      </c>
      <c r="D165" s="10"/>
      <c r="E165" s="87">
        <v>0</v>
      </c>
      <c r="F165" s="165"/>
      <c r="G165" s="10"/>
      <c r="H165" s="11"/>
    </row>
    <row r="166" spans="2:8" x14ac:dyDescent="0.35">
      <c r="B166" s="89" t="s">
        <v>233</v>
      </c>
      <c r="C166" s="87">
        <v>5</v>
      </c>
      <c r="D166" s="10"/>
      <c r="E166" s="87">
        <f>C166*80*120</f>
        <v>48000</v>
      </c>
      <c r="F166" s="165" t="s">
        <v>390</v>
      </c>
      <c r="G166" s="10"/>
      <c r="H166" s="11"/>
    </row>
    <row r="167" spans="2:8" x14ac:dyDescent="0.35">
      <c r="B167" s="89" t="s">
        <v>112</v>
      </c>
      <c r="C167" s="87">
        <v>0</v>
      </c>
      <c r="D167" s="10"/>
      <c r="E167" s="87">
        <v>0</v>
      </c>
      <c r="F167" s="165"/>
      <c r="G167" s="10"/>
      <c r="H167" s="11"/>
    </row>
    <row r="168" spans="2:8" x14ac:dyDescent="0.35">
      <c r="B168" s="89" t="s">
        <v>112</v>
      </c>
      <c r="C168" s="87">
        <v>0</v>
      </c>
      <c r="D168" s="10"/>
      <c r="E168" s="87">
        <v>0</v>
      </c>
      <c r="F168" s="165"/>
      <c r="G168" s="10"/>
      <c r="H168" s="11"/>
    </row>
    <row r="169" spans="2:8" x14ac:dyDescent="0.35">
      <c r="B169" s="89" t="s">
        <v>112</v>
      </c>
      <c r="C169" s="87">
        <v>0</v>
      </c>
      <c r="D169" s="10"/>
      <c r="E169" s="87">
        <v>0</v>
      </c>
      <c r="F169" s="165"/>
      <c r="G169" s="10"/>
      <c r="H169" s="11"/>
    </row>
    <row r="170" spans="2:8" x14ac:dyDescent="0.35">
      <c r="B170" s="89" t="s">
        <v>112</v>
      </c>
      <c r="C170" s="87">
        <v>0</v>
      </c>
      <c r="D170" s="10"/>
      <c r="E170" s="87">
        <v>0</v>
      </c>
      <c r="F170" s="165"/>
      <c r="G170" s="10"/>
      <c r="H170" s="11"/>
    </row>
    <row r="171" spans="2:8" x14ac:dyDescent="0.35">
      <c r="B171" s="89" t="s">
        <v>112</v>
      </c>
      <c r="C171" s="87">
        <v>0</v>
      </c>
      <c r="D171" s="10"/>
      <c r="E171" s="87">
        <v>0</v>
      </c>
      <c r="F171" s="165"/>
      <c r="G171" s="10"/>
      <c r="H171" s="11"/>
    </row>
    <row r="172" spans="2:8" x14ac:dyDescent="0.35">
      <c r="B172" s="39"/>
      <c r="C172" s="58"/>
      <c r="D172" s="58"/>
      <c r="E172" s="73"/>
      <c r="F172" s="171"/>
      <c r="G172" s="10"/>
      <c r="H172" s="11"/>
    </row>
    <row r="173" spans="2:8" x14ac:dyDescent="0.35">
      <c r="B173" s="39" t="s">
        <v>125</v>
      </c>
      <c r="C173" s="58"/>
      <c r="D173" s="58"/>
      <c r="E173" s="73"/>
      <c r="F173" s="171"/>
      <c r="G173" s="10"/>
      <c r="H173" s="11"/>
    </row>
    <row r="174" spans="2:8" x14ac:dyDescent="0.35">
      <c r="B174" s="89" t="s">
        <v>232</v>
      </c>
      <c r="C174" s="87">
        <v>500</v>
      </c>
      <c r="D174" s="10"/>
      <c r="E174" s="87">
        <f>C174*12</f>
        <v>6000</v>
      </c>
      <c r="F174" s="165" t="s">
        <v>282</v>
      </c>
      <c r="G174" s="10"/>
      <c r="H174" s="11"/>
    </row>
    <row r="175" spans="2:8" x14ac:dyDescent="0.35">
      <c r="B175" s="89" t="s">
        <v>270</v>
      </c>
      <c r="C175" s="87">
        <v>50</v>
      </c>
      <c r="D175" s="10"/>
      <c r="E175" s="87">
        <f>C175*120</f>
        <v>6000</v>
      </c>
      <c r="F175" s="165" t="s">
        <v>385</v>
      </c>
      <c r="G175" s="10"/>
      <c r="H175" s="11"/>
    </row>
    <row r="176" spans="2:8" x14ac:dyDescent="0.35">
      <c r="B176" s="89" t="s">
        <v>271</v>
      </c>
      <c r="C176" s="87">
        <v>0</v>
      </c>
      <c r="D176" s="10"/>
      <c r="E176" s="87">
        <v>0</v>
      </c>
      <c r="F176" s="165"/>
      <c r="G176" s="10"/>
      <c r="H176" s="11"/>
    </row>
    <row r="177" spans="2:8" x14ac:dyDescent="0.35">
      <c r="B177" s="89" t="s">
        <v>272</v>
      </c>
      <c r="C177" s="87">
        <v>0</v>
      </c>
      <c r="D177" s="10"/>
      <c r="E177" s="87">
        <v>0</v>
      </c>
      <c r="F177" s="165"/>
      <c r="G177" s="10"/>
      <c r="H177" s="11"/>
    </row>
    <row r="178" spans="2:8" x14ac:dyDescent="0.35">
      <c r="B178" s="89" t="s">
        <v>112</v>
      </c>
      <c r="C178" s="87">
        <v>0</v>
      </c>
      <c r="D178" s="10"/>
      <c r="E178" s="87">
        <v>0</v>
      </c>
      <c r="F178" s="165"/>
      <c r="G178" s="10"/>
      <c r="H178" s="11"/>
    </row>
    <row r="179" spans="2:8" x14ac:dyDescent="0.35">
      <c r="B179" s="39"/>
      <c r="C179" s="58"/>
      <c r="D179" s="58"/>
      <c r="E179" s="73"/>
      <c r="F179" s="171"/>
      <c r="G179" s="10"/>
      <c r="H179" s="11"/>
    </row>
    <row r="180" spans="2:8" x14ac:dyDescent="0.35">
      <c r="B180" s="39" t="s">
        <v>126</v>
      </c>
      <c r="C180" s="58"/>
      <c r="D180" s="58"/>
      <c r="E180" s="73"/>
      <c r="F180" s="171"/>
      <c r="G180" s="10"/>
      <c r="H180" s="11"/>
    </row>
    <row r="181" spans="2:8" x14ac:dyDescent="0.35">
      <c r="B181" s="89" t="s">
        <v>112</v>
      </c>
      <c r="C181" s="87">
        <v>0</v>
      </c>
      <c r="D181" s="10"/>
      <c r="E181" s="87">
        <v>0</v>
      </c>
      <c r="F181" s="165"/>
      <c r="G181" s="10"/>
      <c r="H181" s="11"/>
    </row>
    <row r="182" spans="2:8" x14ac:dyDescent="0.35">
      <c r="B182" s="89" t="s">
        <v>112</v>
      </c>
      <c r="C182" s="87">
        <v>0</v>
      </c>
      <c r="D182" s="10"/>
      <c r="E182" s="87">
        <v>0</v>
      </c>
      <c r="F182" s="165"/>
      <c r="G182" s="10"/>
      <c r="H182" s="11"/>
    </row>
    <row r="183" spans="2:8" x14ac:dyDescent="0.35">
      <c r="B183" s="89" t="s">
        <v>112</v>
      </c>
      <c r="C183" s="87">
        <v>0</v>
      </c>
      <c r="D183" s="10"/>
      <c r="E183" s="87">
        <v>0</v>
      </c>
      <c r="F183" s="165"/>
      <c r="G183" s="10"/>
      <c r="H183" s="11"/>
    </row>
    <row r="184" spans="2:8" x14ac:dyDescent="0.35">
      <c r="B184" s="89" t="s">
        <v>112</v>
      </c>
      <c r="C184" s="87">
        <v>0</v>
      </c>
      <c r="D184" s="10"/>
      <c r="E184" s="87">
        <v>0</v>
      </c>
      <c r="F184" s="165"/>
      <c r="G184" s="10"/>
      <c r="H184" s="11"/>
    </row>
    <row r="185" spans="2:8" x14ac:dyDescent="0.35">
      <c r="B185" s="89" t="s">
        <v>112</v>
      </c>
      <c r="C185" s="87">
        <v>0</v>
      </c>
      <c r="D185" s="10"/>
      <c r="E185" s="87">
        <v>0</v>
      </c>
      <c r="F185" s="165"/>
      <c r="G185" s="10"/>
      <c r="H185" s="11"/>
    </row>
    <row r="186" spans="2:8" x14ac:dyDescent="0.35">
      <c r="B186" s="39"/>
      <c r="C186" s="58"/>
      <c r="D186" s="58"/>
      <c r="E186" s="73"/>
      <c r="F186" s="72"/>
      <c r="G186" s="10"/>
      <c r="H186" s="11"/>
    </row>
    <row r="187" spans="2:8" ht="15" thickBot="1" x14ac:dyDescent="0.4">
      <c r="B187" s="39" t="s">
        <v>129</v>
      </c>
      <c r="C187" s="58"/>
      <c r="D187" s="58"/>
      <c r="E187" s="71">
        <f>SUM(E123:E137,E140:E154,E157:E171,E174:E178,E181:E185)</f>
        <v>131380</v>
      </c>
      <c r="F187" s="72"/>
      <c r="G187" s="10"/>
      <c r="H187" s="11"/>
    </row>
    <row r="188" spans="2:8" ht="15" thickTop="1" x14ac:dyDescent="0.35">
      <c r="B188" s="39"/>
      <c r="C188" s="58"/>
      <c r="D188" s="58"/>
      <c r="E188" s="73"/>
      <c r="F188" s="72"/>
      <c r="G188" s="10"/>
      <c r="H188" s="11"/>
    </row>
    <row r="189" spans="2:8" ht="19" thickBot="1" x14ac:dyDescent="0.5">
      <c r="B189" s="85" t="s">
        <v>132</v>
      </c>
      <c r="C189" s="58"/>
      <c r="D189" s="58"/>
      <c r="E189" s="71">
        <f>E92+E112+E187</f>
        <v>256845.52499999999</v>
      </c>
      <c r="F189" s="72"/>
      <c r="G189" s="10"/>
      <c r="H189" s="11"/>
    </row>
    <row r="190" spans="2:8" ht="15.5" thickTop="1" thickBot="1" x14ac:dyDescent="0.4">
      <c r="B190" s="22"/>
      <c r="C190" s="23"/>
      <c r="D190" s="23"/>
      <c r="E190" s="23"/>
      <c r="F190" s="86"/>
      <c r="G190" s="23"/>
      <c r="H190" s="24"/>
    </row>
    <row r="191" spans="2:8" x14ac:dyDescent="0.35">
      <c r="G191" s="10"/>
      <c r="H191" s="10"/>
    </row>
  </sheetData>
  <sheetProtection algorithmName="SHA-512" hashValue="2ZDp7UogoxP6C5xV/EQz4fZJ6mPJxChKpGaAEz35rEQMywRubPwo0CwY8+uFRX3NaNnWnBnuB8EIUUTV8Q6j2A==" saltValue="Cdxigpjj775sSo4pJqGLVA==" spinCount="100000" sheet="1" objects="1" scenarios="1" formatColumns="0" formatRows="0"/>
  <mergeCells count="6">
    <mergeCell ref="C8:F8"/>
    <mergeCell ref="C57:F57"/>
    <mergeCell ref="C95:F95"/>
    <mergeCell ref="C115:F115"/>
    <mergeCell ref="C51:F55"/>
    <mergeCell ref="C50:F50"/>
  </mergeCells>
  <pageMargins left="0.7" right="0.7" top="0.75" bottom="0.75" header="0.3" footer="0.3"/>
  <pageSetup scale="45" fitToHeight="5" orientation="landscape" horizontalDpi="1200" verticalDpi="1200" r:id="rId1"/>
  <headerFooter>
    <oddFooter>&amp;L&amp;A&amp;RPage &amp;P of &amp;N</oddFooter>
  </headerFooter>
  <rowBreaks count="4" manualBreakCount="4">
    <brk id="55" max="8" man="1"/>
    <brk id="93" max="8" man="1"/>
    <brk id="113" max="8" man="1"/>
    <brk id="155"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U222"/>
  <sheetViews>
    <sheetView showGridLines="0" zoomScale="50" zoomScaleNormal="50" zoomScaleSheetLayoutView="85" workbookViewId="0">
      <selection activeCell="Q23" sqref="Q23"/>
    </sheetView>
  </sheetViews>
  <sheetFormatPr defaultColWidth="8.7265625" defaultRowHeight="14.5" x14ac:dyDescent="0.35"/>
  <cols>
    <col min="1" max="1" width="4.7265625" style="92" customWidth="1"/>
    <col min="2" max="2" width="42.453125" style="92" bestFit="1" customWidth="1"/>
    <col min="3" max="3" width="3" style="92" hidden="1" customWidth="1"/>
    <col min="4" max="4" width="3.453125" style="92" hidden="1" customWidth="1"/>
    <col min="5" max="19" width="12.7265625" style="92" customWidth="1"/>
    <col min="20" max="20" width="43.7265625" style="92" bestFit="1" customWidth="1"/>
    <col min="21" max="22" width="4.7265625" style="92" customWidth="1"/>
    <col min="23" max="16384" width="8.7265625" style="92"/>
  </cols>
  <sheetData>
    <row r="1" spans="1:21" ht="15" thickBot="1" x14ac:dyDescent="0.4"/>
    <row r="2" spans="1:21" x14ac:dyDescent="0.35">
      <c r="B2" s="93"/>
      <c r="C2" s="94"/>
      <c r="D2" s="94"/>
      <c r="E2" s="94"/>
      <c r="F2" s="94"/>
      <c r="G2" s="94"/>
      <c r="H2" s="94"/>
      <c r="I2" s="94"/>
      <c r="J2" s="94"/>
      <c r="K2" s="94"/>
      <c r="L2" s="94"/>
      <c r="M2" s="94"/>
      <c r="N2" s="94"/>
      <c r="O2" s="94"/>
      <c r="P2" s="94"/>
      <c r="Q2" s="94"/>
      <c r="R2" s="94"/>
      <c r="S2" s="94"/>
      <c r="T2" s="94"/>
      <c r="U2" s="95"/>
    </row>
    <row r="3" spans="1:21" x14ac:dyDescent="0.35">
      <c r="B3" s="96"/>
      <c r="C3" s="97"/>
      <c r="D3" s="97"/>
      <c r="E3" s="320" t="str">
        <f>'1) Proposed School Information'!E12</f>
        <v>Luceo Collegiate School for the Arts Charter School</v>
      </c>
      <c r="F3" s="320"/>
      <c r="G3" s="321"/>
      <c r="H3" s="321"/>
      <c r="I3" s="321"/>
      <c r="J3" s="321"/>
      <c r="K3" s="321"/>
      <c r="L3" s="321"/>
      <c r="M3" s="321"/>
      <c r="N3" s="321"/>
      <c r="O3" s="321"/>
      <c r="P3" s="321"/>
      <c r="Q3" s="321"/>
      <c r="R3" s="321"/>
      <c r="S3" s="321"/>
      <c r="T3" s="186"/>
      <c r="U3" s="99"/>
    </row>
    <row r="4" spans="1:21" x14ac:dyDescent="0.35">
      <c r="B4" s="96"/>
      <c r="C4" s="97"/>
      <c r="D4" s="97"/>
      <c r="E4" s="320" t="s">
        <v>17</v>
      </c>
      <c r="F4" s="320"/>
      <c r="G4" s="321"/>
      <c r="H4" s="321"/>
      <c r="I4" s="321"/>
      <c r="J4" s="321"/>
      <c r="K4" s="321"/>
      <c r="L4" s="321"/>
      <c r="M4" s="321"/>
      <c r="N4" s="321"/>
      <c r="O4" s="321"/>
      <c r="P4" s="321"/>
      <c r="Q4" s="321"/>
      <c r="R4" s="321"/>
      <c r="S4" s="321"/>
      <c r="T4" s="186"/>
      <c r="U4" s="99"/>
    </row>
    <row r="5" spans="1:21" x14ac:dyDescent="0.35">
      <c r="B5" s="96"/>
      <c r="C5" s="97"/>
      <c r="D5" s="97"/>
      <c r="E5" s="320" t="s">
        <v>179</v>
      </c>
      <c r="F5" s="320"/>
      <c r="G5" s="321"/>
      <c r="H5" s="321"/>
      <c r="I5" s="321"/>
      <c r="J5" s="321"/>
      <c r="K5" s="321"/>
      <c r="L5" s="321"/>
      <c r="M5" s="321"/>
      <c r="N5" s="321"/>
      <c r="O5" s="321"/>
      <c r="P5" s="321"/>
      <c r="Q5" s="321"/>
      <c r="R5" s="321"/>
      <c r="S5" s="321"/>
      <c r="T5" s="186"/>
      <c r="U5" s="99"/>
    </row>
    <row r="6" spans="1:21" x14ac:dyDescent="0.35">
      <c r="B6" s="96"/>
      <c r="C6" s="97"/>
      <c r="D6" s="97"/>
      <c r="E6" s="97"/>
      <c r="F6" s="97"/>
      <c r="G6" s="97"/>
      <c r="H6" s="97"/>
      <c r="I6" s="97"/>
      <c r="J6" s="97"/>
      <c r="K6" s="97"/>
      <c r="L6" s="97"/>
      <c r="M6" s="97"/>
      <c r="N6" s="97"/>
      <c r="O6" s="97"/>
      <c r="P6" s="97"/>
      <c r="Q6" s="97"/>
      <c r="R6" s="97"/>
      <c r="S6" s="97"/>
      <c r="T6" s="97"/>
      <c r="U6" s="99"/>
    </row>
    <row r="7" spans="1:21" x14ac:dyDescent="0.35">
      <c r="B7" s="96"/>
      <c r="C7" s="97"/>
      <c r="D7" s="97"/>
      <c r="E7" s="97"/>
      <c r="F7" s="97"/>
      <c r="G7" s="97"/>
      <c r="H7" s="97"/>
      <c r="I7" s="97"/>
      <c r="J7" s="97"/>
      <c r="K7" s="97"/>
      <c r="L7" s="97"/>
      <c r="M7" s="97"/>
      <c r="N7" s="97"/>
      <c r="O7" s="97"/>
      <c r="P7" s="97"/>
      <c r="Q7" s="97"/>
      <c r="R7" s="97"/>
      <c r="S7" s="97"/>
      <c r="T7" s="97"/>
      <c r="U7" s="99"/>
    </row>
    <row r="8" spans="1:21" ht="14.65" customHeight="1" x14ac:dyDescent="0.35">
      <c r="B8" s="96"/>
      <c r="C8" s="185" t="s">
        <v>164</v>
      </c>
      <c r="D8" s="100"/>
      <c r="E8" s="324" t="s">
        <v>164</v>
      </c>
      <c r="F8" s="325"/>
      <c r="G8" s="325"/>
      <c r="H8" s="325"/>
      <c r="I8" s="325"/>
      <c r="J8" s="325"/>
      <c r="K8" s="325"/>
      <c r="L8" s="325"/>
      <c r="M8" s="325"/>
      <c r="N8" s="325"/>
      <c r="O8" s="325"/>
      <c r="P8" s="325"/>
      <c r="Q8" s="325"/>
      <c r="R8" s="325"/>
      <c r="S8" s="325"/>
      <c r="T8" s="97"/>
      <c r="U8" s="99"/>
    </row>
    <row r="9" spans="1:21" x14ac:dyDescent="0.35">
      <c r="B9" s="96"/>
      <c r="C9" s="97"/>
      <c r="D9" s="97"/>
      <c r="E9" s="97"/>
      <c r="F9" s="97"/>
      <c r="G9" s="97"/>
      <c r="H9" s="97"/>
      <c r="I9" s="97"/>
      <c r="J9" s="97"/>
      <c r="K9" s="97"/>
      <c r="L9" s="97"/>
      <c r="M9" s="97"/>
      <c r="N9" s="97"/>
      <c r="O9" s="97"/>
      <c r="P9" s="97"/>
      <c r="Q9" s="97"/>
      <c r="R9" s="97"/>
      <c r="S9" s="97"/>
      <c r="T9" s="97"/>
      <c r="U9" s="99"/>
    </row>
    <row r="10" spans="1:21" x14ac:dyDescent="0.35">
      <c r="A10" s="101"/>
      <c r="B10" s="49"/>
      <c r="C10" s="61"/>
      <c r="D10" s="2"/>
      <c r="E10" s="102" t="s">
        <v>136</v>
      </c>
      <c r="F10" s="102" t="str">
        <f>E10</f>
        <v>Year 0</v>
      </c>
      <c r="G10" s="102" t="str">
        <f t="shared" ref="G10:S11" si="0">F10</f>
        <v>Year 0</v>
      </c>
      <c r="H10" s="102" t="str">
        <f t="shared" si="0"/>
        <v>Year 0</v>
      </c>
      <c r="I10" s="102" t="str">
        <f t="shared" si="0"/>
        <v>Year 0</v>
      </c>
      <c r="J10" s="102" t="str">
        <f t="shared" si="0"/>
        <v>Year 0</v>
      </c>
      <c r="K10" s="102" t="str">
        <f t="shared" si="0"/>
        <v>Year 0</v>
      </c>
      <c r="L10" s="102" t="str">
        <f t="shared" si="0"/>
        <v>Year 0</v>
      </c>
      <c r="M10" s="102" t="str">
        <f t="shared" si="0"/>
        <v>Year 0</v>
      </c>
      <c r="N10" s="102" t="str">
        <f t="shared" si="0"/>
        <v>Year 0</v>
      </c>
      <c r="O10" s="102" t="str">
        <f t="shared" si="0"/>
        <v>Year 0</v>
      </c>
      <c r="P10" s="102" t="str">
        <f t="shared" si="0"/>
        <v>Year 0</v>
      </c>
      <c r="Q10" s="102" t="str">
        <f t="shared" si="0"/>
        <v>Year 0</v>
      </c>
      <c r="R10" s="102" t="str">
        <f t="shared" si="0"/>
        <v>Year 0</v>
      </c>
      <c r="S10" s="102" t="str">
        <f t="shared" si="0"/>
        <v>Year 0</v>
      </c>
      <c r="T10" s="103"/>
      <c r="U10" s="99"/>
    </row>
    <row r="11" spans="1:21" x14ac:dyDescent="0.35">
      <c r="A11" s="101"/>
      <c r="B11" s="49"/>
      <c r="C11" s="61"/>
      <c r="D11" s="2"/>
      <c r="E11" s="29" t="str">
        <f>IF('1) Proposed School Information'!E23="Select Year"," ",VLOOKUP('6) Year 1 Budget'!E11,Source!A8:C21,3,FALSE))</f>
        <v>2020-21</v>
      </c>
      <c r="F11" s="104" t="str">
        <f>E11</f>
        <v>2020-21</v>
      </c>
      <c r="G11" s="104" t="str">
        <f t="shared" si="0"/>
        <v>2020-21</v>
      </c>
      <c r="H11" s="104" t="str">
        <f t="shared" si="0"/>
        <v>2020-21</v>
      </c>
      <c r="I11" s="104" t="str">
        <f t="shared" si="0"/>
        <v>2020-21</v>
      </c>
      <c r="J11" s="104" t="str">
        <f t="shared" si="0"/>
        <v>2020-21</v>
      </c>
      <c r="K11" s="104" t="str">
        <f t="shared" si="0"/>
        <v>2020-21</v>
      </c>
      <c r="L11" s="104" t="str">
        <f t="shared" si="0"/>
        <v>2020-21</v>
      </c>
      <c r="M11" s="104" t="str">
        <f t="shared" si="0"/>
        <v>2020-21</v>
      </c>
      <c r="N11" s="104" t="str">
        <f t="shared" si="0"/>
        <v>2020-21</v>
      </c>
      <c r="O11" s="104" t="str">
        <f t="shared" si="0"/>
        <v>2020-21</v>
      </c>
      <c r="P11" s="104" t="str">
        <f t="shared" si="0"/>
        <v>2020-21</v>
      </c>
      <c r="Q11" s="104" t="str">
        <f t="shared" si="0"/>
        <v>2020-21</v>
      </c>
      <c r="R11" s="104" t="str">
        <f t="shared" si="0"/>
        <v>2020-21</v>
      </c>
      <c r="S11" s="104" t="str">
        <f t="shared" si="0"/>
        <v>2020-21</v>
      </c>
      <c r="T11" s="103"/>
      <c r="U11" s="99"/>
    </row>
    <row r="12" spans="1:21" s="108" customFormat="1" x14ac:dyDescent="0.35">
      <c r="A12" s="105"/>
      <c r="B12" s="47"/>
      <c r="C12" s="84"/>
      <c r="D12" s="3"/>
      <c r="E12" s="106" t="s">
        <v>151</v>
      </c>
      <c r="F12" s="106" t="s">
        <v>139</v>
      </c>
      <c r="G12" s="106" t="s">
        <v>140</v>
      </c>
      <c r="H12" s="106" t="s">
        <v>141</v>
      </c>
      <c r="I12" s="106" t="s">
        <v>142</v>
      </c>
      <c r="J12" s="106" t="s">
        <v>143</v>
      </c>
      <c r="K12" s="106" t="s">
        <v>144</v>
      </c>
      <c r="L12" s="106" t="s">
        <v>145</v>
      </c>
      <c r="M12" s="106" t="s">
        <v>146</v>
      </c>
      <c r="N12" s="106" t="s">
        <v>147</v>
      </c>
      <c r="O12" s="106" t="s">
        <v>148</v>
      </c>
      <c r="P12" s="106" t="s">
        <v>149</v>
      </c>
      <c r="Q12" s="106" t="s">
        <v>150</v>
      </c>
      <c r="R12" s="106" t="s">
        <v>152</v>
      </c>
      <c r="S12" s="106" t="s">
        <v>153</v>
      </c>
      <c r="T12" s="107"/>
      <c r="U12" s="109"/>
    </row>
    <row r="13" spans="1:21" x14ac:dyDescent="0.35">
      <c r="A13" s="101"/>
      <c r="B13" s="49"/>
      <c r="C13" s="61"/>
      <c r="D13" s="2"/>
      <c r="E13" s="107"/>
      <c r="F13" s="107"/>
      <c r="G13" s="107"/>
      <c r="H13" s="107"/>
      <c r="I13" s="107"/>
      <c r="J13" s="107"/>
      <c r="K13" s="107"/>
      <c r="L13" s="107"/>
      <c r="M13" s="107"/>
      <c r="N13" s="107"/>
      <c r="O13" s="107"/>
      <c r="P13" s="107"/>
      <c r="Q13" s="107"/>
      <c r="R13" s="107"/>
      <c r="S13" s="107"/>
      <c r="T13" s="107"/>
      <c r="U13" s="99"/>
    </row>
    <row r="14" spans="1:21" x14ac:dyDescent="0.35">
      <c r="A14" s="101"/>
      <c r="B14" s="42" t="s">
        <v>160</v>
      </c>
      <c r="C14" s="58"/>
      <c r="D14" s="4"/>
      <c r="E14" s="88">
        <v>0</v>
      </c>
      <c r="F14" s="81">
        <f>E14</f>
        <v>0</v>
      </c>
      <c r="G14" s="81">
        <f>F43</f>
        <v>0</v>
      </c>
      <c r="H14" s="81">
        <f t="shared" ref="H14:Q14" si="1">G43</f>
        <v>0</v>
      </c>
      <c r="I14" s="81">
        <f t="shared" si="1"/>
        <v>281003.38571773085</v>
      </c>
      <c r="J14" s="81">
        <f t="shared" si="1"/>
        <v>269806.77143546165</v>
      </c>
      <c r="K14" s="81">
        <f t="shared" si="1"/>
        <v>258610.15715319247</v>
      </c>
      <c r="L14" s="81">
        <f t="shared" si="1"/>
        <v>247413.54287092329</v>
      </c>
      <c r="M14" s="81">
        <f t="shared" si="1"/>
        <v>228453.69822576942</v>
      </c>
      <c r="N14" s="81">
        <f t="shared" si="1"/>
        <v>209493.85358061554</v>
      </c>
      <c r="O14" s="81">
        <f t="shared" si="1"/>
        <v>190534.00893546166</v>
      </c>
      <c r="P14" s="81">
        <f t="shared" si="1"/>
        <v>117740.83095697445</v>
      </c>
      <c r="Q14" s="81">
        <f t="shared" si="1"/>
        <v>92947.652978487225</v>
      </c>
      <c r="R14" s="63"/>
      <c r="S14" s="63"/>
      <c r="T14" s="107"/>
      <c r="U14" s="99"/>
    </row>
    <row r="15" spans="1:21" x14ac:dyDescent="0.35">
      <c r="A15" s="101"/>
      <c r="B15" s="49"/>
      <c r="C15" s="61"/>
      <c r="D15" s="2"/>
      <c r="E15" s="107"/>
      <c r="F15" s="107"/>
      <c r="G15" s="107"/>
      <c r="H15" s="107"/>
      <c r="I15" s="107"/>
      <c r="J15" s="107"/>
      <c r="K15" s="107"/>
      <c r="L15" s="107"/>
      <c r="M15" s="107"/>
      <c r="N15" s="107"/>
      <c r="O15" s="107"/>
      <c r="P15" s="107"/>
      <c r="Q15" s="107"/>
      <c r="R15" s="107"/>
      <c r="S15" s="107"/>
      <c r="T15" s="107"/>
      <c r="U15" s="99"/>
    </row>
    <row r="16" spans="1:21" x14ac:dyDescent="0.35">
      <c r="A16" s="101"/>
      <c r="B16" s="42" t="s">
        <v>154</v>
      </c>
      <c r="C16" s="61"/>
      <c r="D16" s="2"/>
      <c r="E16" s="110"/>
      <c r="F16" s="107"/>
      <c r="G16" s="107"/>
      <c r="H16" s="107"/>
      <c r="I16" s="107"/>
      <c r="J16" s="107"/>
      <c r="K16" s="107"/>
      <c r="L16" s="107"/>
      <c r="M16" s="107"/>
      <c r="N16" s="107"/>
      <c r="O16" s="107"/>
      <c r="P16" s="107"/>
      <c r="Q16" s="107"/>
      <c r="R16" s="107"/>
      <c r="S16" s="107"/>
      <c r="T16" s="107"/>
      <c r="U16" s="99"/>
    </row>
    <row r="17" spans="1:21" hidden="1" x14ac:dyDescent="0.35">
      <c r="A17" s="101"/>
      <c r="B17" s="49" t="s">
        <v>102</v>
      </c>
      <c r="C17" s="61"/>
      <c r="D17" s="2"/>
      <c r="E17" s="110">
        <f>SUM(E56:E60)</f>
        <v>0</v>
      </c>
      <c r="F17" s="110">
        <f t="shared" ref="F17:S17" si="2">SUM(F56:F60)</f>
        <v>0</v>
      </c>
      <c r="G17" s="110">
        <f t="shared" si="2"/>
        <v>0</v>
      </c>
      <c r="H17" s="110">
        <f t="shared" si="2"/>
        <v>0</v>
      </c>
      <c r="I17" s="110">
        <f t="shared" si="2"/>
        <v>0</v>
      </c>
      <c r="J17" s="110">
        <f t="shared" si="2"/>
        <v>0</v>
      </c>
      <c r="K17" s="110">
        <f t="shared" si="2"/>
        <v>0</v>
      </c>
      <c r="L17" s="110">
        <f t="shared" si="2"/>
        <v>0</v>
      </c>
      <c r="M17" s="110">
        <f t="shared" si="2"/>
        <v>0</v>
      </c>
      <c r="N17" s="110">
        <f t="shared" si="2"/>
        <v>0</v>
      </c>
      <c r="O17" s="110">
        <f t="shared" si="2"/>
        <v>0</v>
      </c>
      <c r="P17" s="110">
        <f t="shared" si="2"/>
        <v>0</v>
      </c>
      <c r="Q17" s="110">
        <f t="shared" si="2"/>
        <v>0</v>
      </c>
      <c r="R17" s="110">
        <f t="shared" si="2"/>
        <v>0</v>
      </c>
      <c r="S17" s="110">
        <f t="shared" si="2"/>
        <v>0</v>
      </c>
      <c r="T17" s="107"/>
      <c r="U17" s="99"/>
    </row>
    <row r="18" spans="1:21" x14ac:dyDescent="0.35">
      <c r="A18" s="101"/>
      <c r="B18" s="49" t="s">
        <v>103</v>
      </c>
      <c r="C18" s="61"/>
      <c r="D18" s="2"/>
      <c r="E18" s="110">
        <f>E68</f>
        <v>0</v>
      </c>
      <c r="F18" s="110">
        <f t="shared" ref="F18:S18" si="3">F68</f>
        <v>0</v>
      </c>
      <c r="G18" s="110">
        <f t="shared" si="3"/>
        <v>0</v>
      </c>
      <c r="H18" s="110">
        <f t="shared" si="3"/>
        <v>0</v>
      </c>
      <c r="I18" s="110">
        <f t="shared" si="3"/>
        <v>0</v>
      </c>
      <c r="J18" s="110">
        <f t="shared" si="3"/>
        <v>0</v>
      </c>
      <c r="K18" s="110">
        <f t="shared" si="3"/>
        <v>0</v>
      </c>
      <c r="L18" s="110">
        <f t="shared" si="3"/>
        <v>0</v>
      </c>
      <c r="M18" s="110">
        <f t="shared" si="3"/>
        <v>0</v>
      </c>
      <c r="N18" s="110">
        <f t="shared" si="3"/>
        <v>0</v>
      </c>
      <c r="O18" s="110">
        <f t="shared" si="3"/>
        <v>0</v>
      </c>
      <c r="P18" s="110">
        <f t="shared" si="3"/>
        <v>0</v>
      </c>
      <c r="Q18" s="110">
        <f t="shared" si="3"/>
        <v>0</v>
      </c>
      <c r="R18" s="110">
        <f t="shared" si="3"/>
        <v>0</v>
      </c>
      <c r="S18" s="110">
        <f t="shared" si="3"/>
        <v>0</v>
      </c>
      <c r="T18" s="107"/>
      <c r="U18" s="99"/>
    </row>
    <row r="19" spans="1:21" hidden="1" x14ac:dyDescent="0.35">
      <c r="A19" s="101"/>
      <c r="B19" s="49" t="s">
        <v>111</v>
      </c>
      <c r="C19" s="61"/>
      <c r="D19" s="2"/>
      <c r="E19" s="110">
        <f>SUM(E73:E77)</f>
        <v>0</v>
      </c>
      <c r="F19" s="110">
        <f t="shared" ref="F19:S19" si="4">SUM(F73:F77)</f>
        <v>0</v>
      </c>
      <c r="G19" s="110">
        <f t="shared" si="4"/>
        <v>0</v>
      </c>
      <c r="H19" s="110">
        <f t="shared" si="4"/>
        <v>0</v>
      </c>
      <c r="I19" s="110">
        <f t="shared" si="4"/>
        <v>0</v>
      </c>
      <c r="J19" s="110">
        <f t="shared" si="4"/>
        <v>0</v>
      </c>
      <c r="K19" s="110">
        <f t="shared" si="4"/>
        <v>0</v>
      </c>
      <c r="L19" s="110">
        <f t="shared" si="4"/>
        <v>0</v>
      </c>
      <c r="M19" s="110">
        <f t="shared" si="4"/>
        <v>0</v>
      </c>
      <c r="N19" s="110">
        <f t="shared" si="4"/>
        <v>0</v>
      </c>
      <c r="O19" s="110">
        <f t="shared" si="4"/>
        <v>0</v>
      </c>
      <c r="P19" s="110">
        <f t="shared" si="4"/>
        <v>0</v>
      </c>
      <c r="Q19" s="110">
        <f t="shared" si="4"/>
        <v>0</v>
      </c>
      <c r="R19" s="110">
        <f t="shared" si="4"/>
        <v>0</v>
      </c>
      <c r="S19" s="110">
        <f t="shared" si="4"/>
        <v>0</v>
      </c>
      <c r="T19" s="107"/>
      <c r="U19" s="99"/>
    </row>
    <row r="20" spans="1:21" x14ac:dyDescent="0.35">
      <c r="A20" s="101"/>
      <c r="B20" s="49" t="s">
        <v>114</v>
      </c>
      <c r="C20" s="61"/>
      <c r="D20" s="2"/>
      <c r="E20" s="110">
        <f>SUM(E80:E84)</f>
        <v>335000</v>
      </c>
      <c r="F20" s="110">
        <f t="shared" ref="F20:S20" si="5">SUM(F80:F84)</f>
        <v>0</v>
      </c>
      <c r="G20" s="110">
        <f t="shared" si="5"/>
        <v>0</v>
      </c>
      <c r="H20" s="110">
        <f t="shared" si="5"/>
        <v>325000</v>
      </c>
      <c r="I20" s="110">
        <f t="shared" si="5"/>
        <v>0</v>
      </c>
      <c r="J20" s="110">
        <f t="shared" si="5"/>
        <v>0</v>
      </c>
      <c r="K20" s="110">
        <f t="shared" si="5"/>
        <v>0</v>
      </c>
      <c r="L20" s="110">
        <f t="shared" si="5"/>
        <v>0</v>
      </c>
      <c r="M20" s="110">
        <f t="shared" si="5"/>
        <v>0</v>
      </c>
      <c r="N20" s="110">
        <f t="shared" si="5"/>
        <v>0</v>
      </c>
      <c r="O20" s="110">
        <f t="shared" si="5"/>
        <v>0</v>
      </c>
      <c r="P20" s="110">
        <f t="shared" si="5"/>
        <v>0</v>
      </c>
      <c r="Q20" s="110">
        <f t="shared" si="5"/>
        <v>10000</v>
      </c>
      <c r="R20" s="110">
        <f t="shared" si="5"/>
        <v>335000</v>
      </c>
      <c r="S20" s="110">
        <f t="shared" si="5"/>
        <v>0</v>
      </c>
      <c r="T20" s="107"/>
      <c r="U20" s="99"/>
    </row>
    <row r="21" spans="1:21" x14ac:dyDescent="0.35">
      <c r="A21" s="101"/>
      <c r="B21" s="49"/>
      <c r="C21" s="61"/>
      <c r="D21" s="2"/>
      <c r="E21" s="107"/>
      <c r="F21" s="107"/>
      <c r="G21" s="107"/>
      <c r="H21" s="107"/>
      <c r="I21" s="107"/>
      <c r="J21" s="107"/>
      <c r="K21" s="107"/>
      <c r="L21" s="107"/>
      <c r="M21" s="107"/>
      <c r="N21" s="107"/>
      <c r="O21" s="107"/>
      <c r="P21" s="107"/>
      <c r="Q21" s="107"/>
      <c r="R21" s="107"/>
      <c r="S21" s="107"/>
      <c r="T21" s="107"/>
      <c r="U21" s="99"/>
    </row>
    <row r="22" spans="1:21" ht="15" thickBot="1" x14ac:dyDescent="0.4">
      <c r="A22" s="101"/>
      <c r="B22" s="42" t="s">
        <v>113</v>
      </c>
      <c r="C22" s="61"/>
      <c r="D22" s="2"/>
      <c r="E22" s="111">
        <f>SUM(E17:E20)</f>
        <v>335000</v>
      </c>
      <c r="F22" s="111">
        <f t="shared" ref="F22:S22" si="6">SUM(F17:F20)</f>
        <v>0</v>
      </c>
      <c r="G22" s="111">
        <f t="shared" si="6"/>
        <v>0</v>
      </c>
      <c r="H22" s="111">
        <f t="shared" si="6"/>
        <v>325000</v>
      </c>
      <c r="I22" s="111">
        <f t="shared" si="6"/>
        <v>0</v>
      </c>
      <c r="J22" s="111">
        <f t="shared" si="6"/>
        <v>0</v>
      </c>
      <c r="K22" s="111">
        <f t="shared" si="6"/>
        <v>0</v>
      </c>
      <c r="L22" s="111">
        <f t="shared" si="6"/>
        <v>0</v>
      </c>
      <c r="M22" s="111">
        <f t="shared" si="6"/>
        <v>0</v>
      </c>
      <c r="N22" s="111">
        <f t="shared" si="6"/>
        <v>0</v>
      </c>
      <c r="O22" s="111">
        <f t="shared" si="6"/>
        <v>0</v>
      </c>
      <c r="P22" s="111">
        <f t="shared" si="6"/>
        <v>0</v>
      </c>
      <c r="Q22" s="111">
        <f t="shared" si="6"/>
        <v>10000</v>
      </c>
      <c r="R22" s="111">
        <f t="shared" si="6"/>
        <v>335000</v>
      </c>
      <c r="S22" s="111">
        <f t="shared" si="6"/>
        <v>0</v>
      </c>
      <c r="T22" s="107"/>
      <c r="U22" s="99"/>
    </row>
    <row r="23" spans="1:21" ht="15" thickTop="1" x14ac:dyDescent="0.35">
      <c r="A23" s="101"/>
      <c r="B23" s="49"/>
      <c r="C23" s="61"/>
      <c r="D23" s="2"/>
      <c r="E23" s="107"/>
      <c r="F23" s="107"/>
      <c r="G23" s="107"/>
      <c r="H23" s="107"/>
      <c r="I23" s="107"/>
      <c r="J23" s="107"/>
      <c r="K23" s="107"/>
      <c r="L23" s="107"/>
      <c r="M23" s="107"/>
      <c r="N23" s="107"/>
      <c r="O23" s="107"/>
      <c r="P23" s="107"/>
      <c r="Q23" s="107"/>
      <c r="R23" s="107"/>
      <c r="S23" s="107"/>
      <c r="T23" s="107"/>
      <c r="U23" s="99"/>
    </row>
    <row r="24" spans="1:21" x14ac:dyDescent="0.35">
      <c r="A24" s="101"/>
      <c r="B24" s="42" t="s">
        <v>156</v>
      </c>
      <c r="C24" s="61"/>
      <c r="D24" s="2"/>
      <c r="E24" s="107"/>
      <c r="F24" s="107"/>
      <c r="G24" s="107"/>
      <c r="H24" s="107"/>
      <c r="I24" s="107"/>
      <c r="J24" s="107"/>
      <c r="K24" s="107"/>
      <c r="L24" s="107"/>
      <c r="M24" s="107"/>
      <c r="N24" s="107"/>
      <c r="O24" s="107"/>
      <c r="P24" s="107"/>
      <c r="Q24" s="107"/>
      <c r="R24" s="107"/>
      <c r="S24" s="107"/>
      <c r="T24" s="107"/>
      <c r="U24" s="99"/>
    </row>
    <row r="25" spans="1:21" x14ac:dyDescent="0.35">
      <c r="A25" s="101"/>
      <c r="B25" s="49" t="s">
        <v>157</v>
      </c>
      <c r="C25" s="61"/>
      <c r="D25" s="2"/>
      <c r="E25" s="110">
        <f>E123</f>
        <v>108850</v>
      </c>
      <c r="F25" s="110">
        <v>0</v>
      </c>
      <c r="G25" s="110">
        <v>0</v>
      </c>
      <c r="H25" s="110">
        <f t="shared" ref="H25:S25" si="7">H123</f>
        <v>7885</v>
      </c>
      <c r="I25" s="110">
        <f t="shared" si="7"/>
        <v>7885</v>
      </c>
      <c r="J25" s="110">
        <f t="shared" si="7"/>
        <v>7885</v>
      </c>
      <c r="K25" s="110">
        <f t="shared" si="7"/>
        <v>7885</v>
      </c>
      <c r="L25" s="110">
        <f t="shared" si="7"/>
        <v>12885</v>
      </c>
      <c r="M25" s="110">
        <f t="shared" si="7"/>
        <v>12885</v>
      </c>
      <c r="N25" s="110">
        <f t="shared" si="7"/>
        <v>12885</v>
      </c>
      <c r="O25" s="110">
        <f t="shared" si="7"/>
        <v>12885</v>
      </c>
      <c r="P25" s="110">
        <f t="shared" si="7"/>
        <v>12885</v>
      </c>
      <c r="Q25" s="110">
        <f t="shared" si="7"/>
        <v>12885</v>
      </c>
      <c r="R25" s="110">
        <f t="shared" si="7"/>
        <v>108850</v>
      </c>
      <c r="S25" s="110">
        <f t="shared" si="7"/>
        <v>0</v>
      </c>
      <c r="T25" s="107"/>
      <c r="U25" s="99"/>
    </row>
    <row r="26" spans="1:21" x14ac:dyDescent="0.35">
      <c r="A26" s="101"/>
      <c r="B26" s="49" t="s">
        <v>158</v>
      </c>
      <c r="C26" s="61"/>
      <c r="D26" s="2"/>
      <c r="E26" s="110">
        <f>E143</f>
        <v>16615.525000000001</v>
      </c>
      <c r="F26" s="110">
        <v>0</v>
      </c>
      <c r="G26" s="110">
        <v>0</v>
      </c>
      <c r="H26" s="110">
        <f t="shared" ref="H26:S26" si="8">H143</f>
        <v>1203.6142822691779</v>
      </c>
      <c r="I26" s="110">
        <f t="shared" si="8"/>
        <v>1203.6142822691779</v>
      </c>
      <c r="J26" s="110">
        <f t="shared" si="8"/>
        <v>1203.6142822691779</v>
      </c>
      <c r="K26" s="110">
        <f t="shared" si="8"/>
        <v>1203.6142822691779</v>
      </c>
      <c r="L26" s="110">
        <f t="shared" si="8"/>
        <v>1966.8446451538814</v>
      </c>
      <c r="M26" s="110">
        <f t="shared" si="8"/>
        <v>1966.8446451538814</v>
      </c>
      <c r="N26" s="110">
        <f t="shared" si="8"/>
        <v>1966.8446451538814</v>
      </c>
      <c r="O26" s="110">
        <f t="shared" si="8"/>
        <v>1966.8446451538814</v>
      </c>
      <c r="P26" s="110">
        <f t="shared" si="8"/>
        <v>1966.8446451538814</v>
      </c>
      <c r="Q26" s="110">
        <f t="shared" si="8"/>
        <v>1966.8446451538814</v>
      </c>
      <c r="R26" s="110">
        <f t="shared" si="8"/>
        <v>16615.525000000001</v>
      </c>
      <c r="S26" s="110">
        <f t="shared" si="8"/>
        <v>0</v>
      </c>
      <c r="T26" s="107"/>
      <c r="U26" s="99"/>
    </row>
    <row r="27" spans="1:21" x14ac:dyDescent="0.35">
      <c r="A27" s="101"/>
      <c r="B27" s="49" t="s">
        <v>123</v>
      </c>
      <c r="C27" s="61"/>
      <c r="D27" s="2"/>
      <c r="E27" s="110">
        <f>SUM(E154:E168)</f>
        <v>40980</v>
      </c>
      <c r="F27" s="110">
        <v>0</v>
      </c>
      <c r="G27" s="110">
        <v>0</v>
      </c>
      <c r="H27" s="110">
        <f t="shared" ref="H27:S27" si="9">SUM(H154:H168)</f>
        <v>26748</v>
      </c>
      <c r="I27" s="110">
        <f t="shared" si="9"/>
        <v>248</v>
      </c>
      <c r="J27" s="110">
        <f t="shared" si="9"/>
        <v>248</v>
      </c>
      <c r="K27" s="110">
        <f t="shared" si="9"/>
        <v>248</v>
      </c>
      <c r="L27" s="110">
        <f t="shared" si="9"/>
        <v>2248</v>
      </c>
      <c r="M27" s="110">
        <f t="shared" si="9"/>
        <v>2248</v>
      </c>
      <c r="N27" s="110">
        <f t="shared" si="9"/>
        <v>2248</v>
      </c>
      <c r="O27" s="110">
        <f t="shared" si="9"/>
        <v>2248</v>
      </c>
      <c r="P27" s="110">
        <f t="shared" si="9"/>
        <v>2248</v>
      </c>
      <c r="Q27" s="110">
        <f t="shared" si="9"/>
        <v>2248</v>
      </c>
      <c r="R27" s="110">
        <f t="shared" si="9"/>
        <v>40980</v>
      </c>
      <c r="S27" s="110">
        <f t="shared" si="9"/>
        <v>0</v>
      </c>
      <c r="T27" s="107"/>
      <c r="U27" s="99"/>
    </row>
    <row r="28" spans="1:21" x14ac:dyDescent="0.35">
      <c r="A28" s="101"/>
      <c r="B28" s="49" t="s">
        <v>124</v>
      </c>
      <c r="C28" s="61"/>
      <c r="D28" s="2"/>
      <c r="E28" s="110">
        <f>SUM(E171:E185)</f>
        <v>12900</v>
      </c>
      <c r="F28" s="110">
        <v>0</v>
      </c>
      <c r="G28" s="110">
        <v>0</v>
      </c>
      <c r="H28" s="110">
        <f t="shared" ref="H28:S28" si="10">SUM(H171:H185)</f>
        <v>6960</v>
      </c>
      <c r="I28" s="110">
        <f t="shared" si="10"/>
        <v>660</v>
      </c>
      <c r="J28" s="110">
        <f t="shared" si="10"/>
        <v>660</v>
      </c>
      <c r="K28" s="110">
        <f t="shared" si="10"/>
        <v>660</v>
      </c>
      <c r="L28" s="110">
        <f t="shared" si="10"/>
        <v>660</v>
      </c>
      <c r="M28" s="110">
        <f t="shared" si="10"/>
        <v>660</v>
      </c>
      <c r="N28" s="110">
        <f t="shared" si="10"/>
        <v>660</v>
      </c>
      <c r="O28" s="110">
        <f t="shared" si="10"/>
        <v>660</v>
      </c>
      <c r="P28" s="110">
        <f t="shared" si="10"/>
        <v>660</v>
      </c>
      <c r="Q28" s="110">
        <f t="shared" si="10"/>
        <v>660</v>
      </c>
      <c r="R28" s="110">
        <f t="shared" si="10"/>
        <v>12900</v>
      </c>
      <c r="S28" s="110">
        <f t="shared" si="10"/>
        <v>0</v>
      </c>
      <c r="T28" s="107"/>
      <c r="U28" s="99"/>
    </row>
    <row r="29" spans="1:21" x14ac:dyDescent="0.35">
      <c r="A29" s="101"/>
      <c r="B29" s="49" t="s">
        <v>159</v>
      </c>
      <c r="C29" s="61"/>
      <c r="D29" s="2"/>
      <c r="E29" s="110">
        <f>SUM(E188:E202)</f>
        <v>65500</v>
      </c>
      <c r="F29" s="110">
        <v>0</v>
      </c>
      <c r="G29" s="110">
        <v>0</v>
      </c>
      <c r="H29" s="110">
        <f t="shared" ref="H29:S29" si="11">SUM(H188:H202)</f>
        <v>0</v>
      </c>
      <c r="I29" s="110">
        <f t="shared" si="11"/>
        <v>0</v>
      </c>
      <c r="J29" s="110">
        <f t="shared" si="11"/>
        <v>0</v>
      </c>
      <c r="K29" s="110">
        <f t="shared" si="11"/>
        <v>0</v>
      </c>
      <c r="L29" s="110">
        <f t="shared" si="11"/>
        <v>0</v>
      </c>
      <c r="M29" s="110">
        <f t="shared" si="11"/>
        <v>0</v>
      </c>
      <c r="N29" s="110">
        <f t="shared" si="11"/>
        <v>0</v>
      </c>
      <c r="O29" s="110">
        <f t="shared" si="11"/>
        <v>53833.333333333336</v>
      </c>
      <c r="P29" s="110">
        <f t="shared" si="11"/>
        <v>5833.3333333333339</v>
      </c>
      <c r="Q29" s="110">
        <f t="shared" si="11"/>
        <v>5833.3333333333339</v>
      </c>
      <c r="R29" s="110">
        <f t="shared" si="11"/>
        <v>65500</v>
      </c>
      <c r="S29" s="110">
        <f t="shared" si="11"/>
        <v>0</v>
      </c>
      <c r="T29" s="107"/>
      <c r="U29" s="99"/>
    </row>
    <row r="30" spans="1:21" x14ac:dyDescent="0.35">
      <c r="A30" s="101"/>
      <c r="B30" s="49" t="s">
        <v>125</v>
      </c>
      <c r="C30" s="61"/>
      <c r="D30" s="2"/>
      <c r="E30" s="110">
        <f>SUM(E205:E209)</f>
        <v>12000</v>
      </c>
      <c r="F30" s="110">
        <v>0</v>
      </c>
      <c r="G30" s="110">
        <v>0</v>
      </c>
      <c r="H30" s="110">
        <f t="shared" ref="H30:S30" si="12">SUM(H205:H209)</f>
        <v>1200</v>
      </c>
      <c r="I30" s="110">
        <f t="shared" si="12"/>
        <v>1200</v>
      </c>
      <c r="J30" s="110">
        <f t="shared" si="12"/>
        <v>1200</v>
      </c>
      <c r="K30" s="110">
        <f t="shared" si="12"/>
        <v>1200</v>
      </c>
      <c r="L30" s="110">
        <f t="shared" si="12"/>
        <v>1200</v>
      </c>
      <c r="M30" s="110">
        <f t="shared" si="12"/>
        <v>1200</v>
      </c>
      <c r="N30" s="110">
        <f t="shared" si="12"/>
        <v>1200</v>
      </c>
      <c r="O30" s="110">
        <f t="shared" si="12"/>
        <v>1200</v>
      </c>
      <c r="P30" s="110">
        <f t="shared" si="12"/>
        <v>1200</v>
      </c>
      <c r="Q30" s="110">
        <f t="shared" si="12"/>
        <v>1200</v>
      </c>
      <c r="R30" s="110">
        <f t="shared" si="12"/>
        <v>12000</v>
      </c>
      <c r="S30" s="110">
        <f t="shared" si="12"/>
        <v>0</v>
      </c>
      <c r="T30" s="107"/>
      <c r="U30" s="99"/>
    </row>
    <row r="31" spans="1:21" x14ac:dyDescent="0.35">
      <c r="A31" s="101"/>
      <c r="B31" s="49" t="s">
        <v>126</v>
      </c>
      <c r="C31" s="61"/>
      <c r="D31" s="2"/>
      <c r="E31" s="110">
        <f>SUM(E212:E216)</f>
        <v>0</v>
      </c>
      <c r="F31" s="110">
        <f t="shared" ref="F31:S31" si="13">SUM(F212:F216)</f>
        <v>0</v>
      </c>
      <c r="G31" s="110">
        <f t="shared" si="13"/>
        <v>0</v>
      </c>
      <c r="H31" s="110">
        <f t="shared" si="13"/>
        <v>0</v>
      </c>
      <c r="I31" s="110">
        <f t="shared" si="13"/>
        <v>0</v>
      </c>
      <c r="J31" s="110">
        <f t="shared" si="13"/>
        <v>0</v>
      </c>
      <c r="K31" s="110">
        <f t="shared" si="13"/>
        <v>0</v>
      </c>
      <c r="L31" s="110">
        <f t="shared" si="13"/>
        <v>0</v>
      </c>
      <c r="M31" s="110">
        <f t="shared" si="13"/>
        <v>0</v>
      </c>
      <c r="N31" s="110">
        <f t="shared" si="13"/>
        <v>0</v>
      </c>
      <c r="O31" s="110">
        <f t="shared" si="13"/>
        <v>0</v>
      </c>
      <c r="P31" s="110">
        <f t="shared" si="13"/>
        <v>0</v>
      </c>
      <c r="Q31" s="110">
        <f t="shared" si="13"/>
        <v>0</v>
      </c>
      <c r="R31" s="110">
        <f t="shared" si="13"/>
        <v>0</v>
      </c>
      <c r="S31" s="110">
        <f t="shared" si="13"/>
        <v>0</v>
      </c>
      <c r="T31" s="107"/>
      <c r="U31" s="99"/>
    </row>
    <row r="32" spans="1:21" x14ac:dyDescent="0.35">
      <c r="A32" s="101"/>
      <c r="B32" s="49"/>
      <c r="C32" s="61"/>
      <c r="D32" s="2"/>
      <c r="E32" s="107"/>
      <c r="F32" s="107"/>
      <c r="G32" s="107"/>
      <c r="H32" s="107"/>
      <c r="I32" s="107"/>
      <c r="J32" s="107"/>
      <c r="K32" s="107"/>
      <c r="L32" s="107"/>
      <c r="M32" s="107"/>
      <c r="N32" s="107"/>
      <c r="O32" s="107"/>
      <c r="P32" s="107"/>
      <c r="Q32" s="107"/>
      <c r="R32" s="107"/>
      <c r="S32" s="107"/>
      <c r="T32" s="107"/>
      <c r="U32" s="99"/>
    </row>
    <row r="33" spans="1:21" ht="15" thickBot="1" x14ac:dyDescent="0.4">
      <c r="A33" s="101"/>
      <c r="B33" s="42" t="s">
        <v>132</v>
      </c>
      <c r="C33" s="61"/>
      <c r="D33" s="2"/>
      <c r="E33" s="111">
        <f>SUM(E25:E31)</f>
        <v>256845.52499999999</v>
      </c>
      <c r="F33" s="111">
        <f t="shared" ref="F33:S33" si="14">SUM(F25:F31)</f>
        <v>0</v>
      </c>
      <c r="G33" s="111">
        <f t="shared" si="14"/>
        <v>0</v>
      </c>
      <c r="H33" s="111">
        <f t="shared" si="14"/>
        <v>43996.614282269176</v>
      </c>
      <c r="I33" s="111">
        <f t="shared" si="14"/>
        <v>11196.614282269178</v>
      </c>
      <c r="J33" s="111">
        <f t="shared" si="14"/>
        <v>11196.614282269178</v>
      </c>
      <c r="K33" s="111">
        <f t="shared" si="14"/>
        <v>11196.614282269178</v>
      </c>
      <c r="L33" s="111">
        <f t="shared" si="14"/>
        <v>18959.844645153884</v>
      </c>
      <c r="M33" s="111">
        <f t="shared" si="14"/>
        <v>18959.844645153884</v>
      </c>
      <c r="N33" s="111">
        <f t="shared" si="14"/>
        <v>18959.844645153884</v>
      </c>
      <c r="O33" s="111">
        <f t="shared" si="14"/>
        <v>72793.17797848722</v>
      </c>
      <c r="P33" s="111">
        <f t="shared" si="14"/>
        <v>24793.17797848722</v>
      </c>
      <c r="Q33" s="111">
        <f t="shared" si="14"/>
        <v>24793.17797848722</v>
      </c>
      <c r="R33" s="111">
        <f t="shared" si="14"/>
        <v>256845.52499999999</v>
      </c>
      <c r="S33" s="111">
        <f t="shared" si="14"/>
        <v>0</v>
      </c>
      <c r="T33" s="107"/>
      <c r="U33" s="99"/>
    </row>
    <row r="34" spans="1:21" ht="15" thickTop="1" x14ac:dyDescent="0.35">
      <c r="A34" s="101"/>
      <c r="B34" s="49"/>
      <c r="C34" s="61"/>
      <c r="D34" s="2"/>
      <c r="E34" s="107"/>
      <c r="F34" s="107"/>
      <c r="G34" s="107"/>
      <c r="H34" s="107"/>
      <c r="I34" s="107"/>
      <c r="J34" s="107"/>
      <c r="K34" s="107"/>
      <c r="L34" s="107"/>
      <c r="M34" s="107"/>
      <c r="N34" s="107"/>
      <c r="O34" s="107"/>
      <c r="P34" s="107"/>
      <c r="Q34" s="107"/>
      <c r="R34" s="107"/>
      <c r="S34" s="107"/>
      <c r="T34" s="107"/>
      <c r="U34" s="99"/>
    </row>
    <row r="35" spans="1:21" ht="15" thickBot="1" x14ac:dyDescent="0.4">
      <c r="A35" s="101"/>
      <c r="B35" s="49" t="s">
        <v>161</v>
      </c>
      <c r="C35" s="61"/>
      <c r="D35" s="2"/>
      <c r="E35" s="111">
        <f>E22-E33</f>
        <v>78154.475000000006</v>
      </c>
      <c r="F35" s="111">
        <f t="shared" ref="F35:S35" si="15">F22-F33</f>
        <v>0</v>
      </c>
      <c r="G35" s="111">
        <f t="shared" si="15"/>
        <v>0</v>
      </c>
      <c r="H35" s="111">
        <f t="shared" si="15"/>
        <v>281003.38571773085</v>
      </c>
      <c r="I35" s="111">
        <f t="shared" si="15"/>
        <v>-11196.614282269178</v>
      </c>
      <c r="J35" s="111">
        <f t="shared" si="15"/>
        <v>-11196.614282269178</v>
      </c>
      <c r="K35" s="111">
        <f t="shared" si="15"/>
        <v>-11196.614282269178</v>
      </c>
      <c r="L35" s="111">
        <f t="shared" si="15"/>
        <v>-18959.844645153884</v>
      </c>
      <c r="M35" s="111">
        <f t="shared" si="15"/>
        <v>-18959.844645153884</v>
      </c>
      <c r="N35" s="111">
        <f t="shared" si="15"/>
        <v>-18959.844645153884</v>
      </c>
      <c r="O35" s="111">
        <f t="shared" si="15"/>
        <v>-72793.17797848722</v>
      </c>
      <c r="P35" s="111">
        <f t="shared" si="15"/>
        <v>-24793.17797848722</v>
      </c>
      <c r="Q35" s="111">
        <f t="shared" si="15"/>
        <v>-14793.17797848722</v>
      </c>
      <c r="R35" s="111">
        <f t="shared" si="15"/>
        <v>78154.475000000006</v>
      </c>
      <c r="S35" s="111">
        <f t="shared" si="15"/>
        <v>0</v>
      </c>
      <c r="T35" s="107"/>
      <c r="U35" s="99"/>
    </row>
    <row r="36" spans="1:21" ht="15" thickTop="1" x14ac:dyDescent="0.35">
      <c r="A36" s="101"/>
      <c r="B36" s="49"/>
      <c r="C36" s="61"/>
      <c r="D36" s="2"/>
      <c r="E36" s="107"/>
      <c r="F36" s="107"/>
      <c r="G36" s="107"/>
      <c r="H36" s="107"/>
      <c r="I36" s="107"/>
      <c r="J36" s="107"/>
      <c r="K36" s="107"/>
      <c r="L36" s="107"/>
      <c r="M36" s="107"/>
      <c r="N36" s="107"/>
      <c r="O36" s="107"/>
      <c r="P36" s="107"/>
      <c r="Q36" s="107"/>
      <c r="R36" s="107"/>
      <c r="S36" s="107"/>
      <c r="T36" s="107"/>
      <c r="U36" s="99"/>
    </row>
    <row r="37" spans="1:21" x14ac:dyDescent="0.35">
      <c r="A37" s="101"/>
      <c r="B37" s="49" t="s">
        <v>165</v>
      </c>
      <c r="C37" s="61"/>
      <c r="D37" s="2"/>
      <c r="E37" s="107"/>
      <c r="F37" s="88"/>
      <c r="G37" s="88">
        <v>0</v>
      </c>
      <c r="H37" s="88">
        <v>0</v>
      </c>
      <c r="I37" s="88">
        <v>0</v>
      </c>
      <c r="J37" s="88">
        <v>0</v>
      </c>
      <c r="K37" s="88">
        <v>0</v>
      </c>
      <c r="L37" s="88">
        <v>0</v>
      </c>
      <c r="M37" s="88">
        <v>0</v>
      </c>
      <c r="N37" s="88">
        <v>0</v>
      </c>
      <c r="O37" s="88">
        <v>0</v>
      </c>
      <c r="P37" s="88">
        <v>0</v>
      </c>
      <c r="Q37" s="88">
        <v>0</v>
      </c>
      <c r="R37" s="107"/>
      <c r="S37" s="107"/>
      <c r="T37" s="107"/>
      <c r="U37" s="99"/>
    </row>
    <row r="38" spans="1:21" x14ac:dyDescent="0.35">
      <c r="A38" s="101"/>
      <c r="B38" s="49" t="s">
        <v>166</v>
      </c>
      <c r="C38" s="61"/>
      <c r="D38" s="2"/>
      <c r="E38" s="107"/>
      <c r="F38" s="88">
        <v>0</v>
      </c>
      <c r="G38" s="88">
        <v>0</v>
      </c>
      <c r="H38" s="88">
        <v>0</v>
      </c>
      <c r="I38" s="88">
        <v>0</v>
      </c>
      <c r="J38" s="88">
        <v>0</v>
      </c>
      <c r="K38" s="88">
        <v>0</v>
      </c>
      <c r="L38" s="88">
        <v>0</v>
      </c>
      <c r="M38" s="88">
        <v>0</v>
      </c>
      <c r="N38" s="88">
        <v>0</v>
      </c>
      <c r="O38" s="88">
        <v>0</v>
      </c>
      <c r="P38" s="88">
        <v>0</v>
      </c>
      <c r="Q38" s="88">
        <v>0</v>
      </c>
      <c r="R38" s="107"/>
      <c r="S38" s="107"/>
      <c r="T38" s="107"/>
      <c r="U38" s="99"/>
    </row>
    <row r="39" spans="1:21" x14ac:dyDescent="0.35">
      <c r="A39" s="101"/>
      <c r="B39" s="49" t="s">
        <v>167</v>
      </c>
      <c r="C39" s="61"/>
      <c r="D39" s="2"/>
      <c r="E39" s="107"/>
      <c r="F39" s="88">
        <v>0</v>
      </c>
      <c r="G39" s="88">
        <v>0</v>
      </c>
      <c r="H39" s="88">
        <v>0</v>
      </c>
      <c r="I39" s="88">
        <v>0</v>
      </c>
      <c r="J39" s="88">
        <v>0</v>
      </c>
      <c r="K39" s="88">
        <v>0</v>
      </c>
      <c r="L39" s="88">
        <v>0</v>
      </c>
      <c r="M39" s="88">
        <v>0</v>
      </c>
      <c r="N39" s="88">
        <v>0</v>
      </c>
      <c r="O39" s="88">
        <v>0</v>
      </c>
      <c r="P39" s="88">
        <v>0</v>
      </c>
      <c r="Q39" s="88">
        <v>0</v>
      </c>
      <c r="R39" s="107"/>
      <c r="S39" s="107"/>
      <c r="T39" s="107"/>
      <c r="U39" s="99"/>
    </row>
    <row r="40" spans="1:21" x14ac:dyDescent="0.35">
      <c r="A40" s="101"/>
      <c r="B40" s="49" t="s">
        <v>168</v>
      </c>
      <c r="C40" s="61"/>
      <c r="D40" s="2"/>
      <c r="E40" s="107"/>
      <c r="F40" s="88">
        <v>0</v>
      </c>
      <c r="G40" s="88">
        <v>0</v>
      </c>
      <c r="H40" s="88">
        <v>0</v>
      </c>
      <c r="I40" s="88">
        <v>0</v>
      </c>
      <c r="J40" s="88">
        <v>0</v>
      </c>
      <c r="K40" s="88">
        <v>0</v>
      </c>
      <c r="L40" s="88">
        <v>0</v>
      </c>
      <c r="M40" s="88">
        <v>0</v>
      </c>
      <c r="N40" s="88">
        <v>0</v>
      </c>
      <c r="O40" s="88">
        <v>0</v>
      </c>
      <c r="P40" s="88">
        <v>0</v>
      </c>
      <c r="Q40" s="88">
        <v>0</v>
      </c>
      <c r="R40" s="107"/>
      <c r="S40" s="107"/>
      <c r="T40" s="107"/>
      <c r="U40" s="99"/>
    </row>
    <row r="41" spans="1:21" x14ac:dyDescent="0.35">
      <c r="A41" s="101"/>
      <c r="B41" s="49" t="s">
        <v>169</v>
      </c>
      <c r="C41" s="61"/>
      <c r="D41" s="2"/>
      <c r="E41" s="107"/>
      <c r="F41" s="88">
        <v>0</v>
      </c>
      <c r="G41" s="88">
        <v>0</v>
      </c>
      <c r="H41" s="88">
        <v>0</v>
      </c>
      <c r="I41" s="88">
        <v>0</v>
      </c>
      <c r="J41" s="88">
        <v>0</v>
      </c>
      <c r="K41" s="88">
        <v>0</v>
      </c>
      <c r="L41" s="88">
        <v>0</v>
      </c>
      <c r="M41" s="88">
        <v>0</v>
      </c>
      <c r="N41" s="88">
        <v>0</v>
      </c>
      <c r="O41" s="88">
        <v>0</v>
      </c>
      <c r="P41" s="88">
        <v>0</v>
      </c>
      <c r="Q41" s="88">
        <v>0</v>
      </c>
      <c r="R41" s="107"/>
      <c r="S41" s="107"/>
      <c r="T41" s="107"/>
      <c r="U41" s="99"/>
    </row>
    <row r="42" spans="1:21" x14ac:dyDescent="0.35">
      <c r="A42" s="101"/>
      <c r="B42" s="49"/>
      <c r="C42" s="61"/>
      <c r="D42" s="2"/>
      <c r="E42" s="107"/>
      <c r="F42" s="107"/>
      <c r="G42" s="107"/>
      <c r="H42" s="107"/>
      <c r="I42" s="107"/>
      <c r="J42" s="107"/>
      <c r="K42" s="107"/>
      <c r="L42" s="107"/>
      <c r="M42" s="107"/>
      <c r="N42" s="107"/>
      <c r="O42" s="107"/>
      <c r="P42" s="107"/>
      <c r="Q42" s="107"/>
      <c r="R42" s="107"/>
      <c r="S42" s="107"/>
      <c r="T42" s="107"/>
      <c r="U42" s="99"/>
    </row>
    <row r="43" spans="1:21" ht="15" thickBot="1" x14ac:dyDescent="0.4">
      <c r="A43" s="101"/>
      <c r="B43" s="42" t="s">
        <v>162</v>
      </c>
      <c r="C43" s="58"/>
      <c r="D43" s="4"/>
      <c r="E43" s="63"/>
      <c r="F43" s="112">
        <f>F14+F35+SUM(F37:F41)</f>
        <v>0</v>
      </c>
      <c r="G43" s="112">
        <f t="shared" ref="G43:Q43" si="16">G14+G35+SUM(G37:G41)</f>
        <v>0</v>
      </c>
      <c r="H43" s="112">
        <f t="shared" si="16"/>
        <v>281003.38571773085</v>
      </c>
      <c r="I43" s="112">
        <f t="shared" si="16"/>
        <v>269806.77143546165</v>
      </c>
      <c r="J43" s="112">
        <f t="shared" si="16"/>
        <v>258610.15715319247</v>
      </c>
      <c r="K43" s="112">
        <f t="shared" si="16"/>
        <v>247413.54287092329</v>
      </c>
      <c r="L43" s="112">
        <f t="shared" si="16"/>
        <v>228453.69822576942</v>
      </c>
      <c r="M43" s="112">
        <f t="shared" si="16"/>
        <v>209493.85358061554</v>
      </c>
      <c r="N43" s="112">
        <f t="shared" si="16"/>
        <v>190534.00893546166</v>
      </c>
      <c r="O43" s="112">
        <f t="shared" si="16"/>
        <v>117740.83095697445</v>
      </c>
      <c r="P43" s="112">
        <f t="shared" si="16"/>
        <v>92947.652978487225</v>
      </c>
      <c r="Q43" s="112">
        <f t="shared" si="16"/>
        <v>78154.475000000006</v>
      </c>
      <c r="R43" s="81"/>
      <c r="S43" s="81"/>
      <c r="T43" s="107"/>
      <c r="U43" s="99"/>
    </row>
    <row r="44" spans="1:21" ht="15.5" thickTop="1" thickBot="1" x14ac:dyDescent="0.4">
      <c r="A44" s="101"/>
      <c r="B44" s="181"/>
      <c r="C44" s="220"/>
      <c r="D44" s="221"/>
      <c r="E44" s="222"/>
      <c r="F44" s="222"/>
      <c r="G44" s="222"/>
      <c r="H44" s="222"/>
      <c r="I44" s="222"/>
      <c r="J44" s="222"/>
      <c r="K44" s="222"/>
      <c r="L44" s="222"/>
      <c r="M44" s="222"/>
      <c r="N44" s="222"/>
      <c r="O44" s="222"/>
      <c r="P44" s="222"/>
      <c r="Q44" s="222"/>
      <c r="R44" s="222"/>
      <c r="S44" s="222"/>
      <c r="T44" s="222"/>
      <c r="U44" s="134"/>
    </row>
    <row r="45" spans="1:21" x14ac:dyDescent="0.35">
      <c r="A45" s="101"/>
      <c r="B45" s="213"/>
      <c r="C45" s="214"/>
      <c r="D45" s="215"/>
      <c r="E45" s="216"/>
      <c r="F45" s="216"/>
      <c r="G45" s="216"/>
      <c r="H45" s="216"/>
      <c r="I45" s="216"/>
      <c r="J45" s="216"/>
      <c r="K45" s="216"/>
      <c r="L45" s="216"/>
      <c r="M45" s="216"/>
      <c r="N45" s="216"/>
      <c r="O45" s="216"/>
      <c r="P45" s="216"/>
      <c r="Q45" s="216"/>
      <c r="R45" s="216"/>
      <c r="S45" s="216"/>
      <c r="T45" s="216"/>
      <c r="U45" s="95"/>
    </row>
    <row r="46" spans="1:21" x14ac:dyDescent="0.35">
      <c r="A46" s="101"/>
      <c r="B46" s="49"/>
      <c r="C46" s="61"/>
      <c r="D46" s="2"/>
      <c r="E46" s="319" t="s">
        <v>163</v>
      </c>
      <c r="F46" s="322"/>
      <c r="G46" s="323"/>
      <c r="H46" s="323"/>
      <c r="I46" s="323"/>
      <c r="J46" s="323"/>
      <c r="K46" s="323"/>
      <c r="L46" s="323"/>
      <c r="M46" s="323"/>
      <c r="N46" s="323"/>
      <c r="O46" s="323"/>
      <c r="P46" s="323"/>
      <c r="Q46" s="323"/>
      <c r="R46" s="323"/>
      <c r="S46" s="323"/>
      <c r="T46" s="107"/>
      <c r="U46" s="99"/>
    </row>
    <row r="47" spans="1:21" x14ac:dyDescent="0.35">
      <c r="A47" s="101"/>
      <c r="B47" s="49"/>
      <c r="C47" s="61"/>
      <c r="D47" s="2"/>
      <c r="E47" s="107"/>
      <c r="F47" s="107"/>
      <c r="G47" s="107"/>
      <c r="H47" s="107"/>
      <c r="I47" s="107"/>
      <c r="J47" s="107"/>
      <c r="K47" s="107"/>
      <c r="L47" s="107"/>
      <c r="M47" s="107"/>
      <c r="N47" s="107"/>
      <c r="O47" s="107"/>
      <c r="P47" s="107"/>
      <c r="Q47" s="107"/>
      <c r="R47" s="107"/>
      <c r="S47" s="107"/>
      <c r="T47" s="107"/>
      <c r="U47" s="99"/>
    </row>
    <row r="48" spans="1:21" x14ac:dyDescent="0.35">
      <c r="A48" s="101"/>
      <c r="B48" s="49"/>
      <c r="C48" s="61"/>
      <c r="D48" s="2"/>
      <c r="E48" s="102" t="str">
        <f>E10</f>
        <v>Year 0</v>
      </c>
      <c r="F48" s="102" t="str">
        <f t="shared" ref="F48:S48" si="17">F10</f>
        <v>Year 0</v>
      </c>
      <c r="G48" s="102" t="str">
        <f t="shared" si="17"/>
        <v>Year 0</v>
      </c>
      <c r="H48" s="102" t="str">
        <f t="shared" si="17"/>
        <v>Year 0</v>
      </c>
      <c r="I48" s="102" t="str">
        <f t="shared" si="17"/>
        <v>Year 0</v>
      </c>
      <c r="J48" s="102" t="str">
        <f t="shared" si="17"/>
        <v>Year 0</v>
      </c>
      <c r="K48" s="102" t="str">
        <f t="shared" si="17"/>
        <v>Year 0</v>
      </c>
      <c r="L48" s="102" t="str">
        <f t="shared" si="17"/>
        <v>Year 0</v>
      </c>
      <c r="M48" s="102" t="str">
        <f t="shared" si="17"/>
        <v>Year 0</v>
      </c>
      <c r="N48" s="102" t="str">
        <f t="shared" si="17"/>
        <v>Year 0</v>
      </c>
      <c r="O48" s="102" t="str">
        <f t="shared" si="17"/>
        <v>Year 0</v>
      </c>
      <c r="P48" s="102" t="str">
        <f t="shared" si="17"/>
        <v>Year 0</v>
      </c>
      <c r="Q48" s="102" t="str">
        <f t="shared" si="17"/>
        <v>Year 0</v>
      </c>
      <c r="R48" s="102" t="str">
        <f t="shared" si="17"/>
        <v>Year 0</v>
      </c>
      <c r="S48" s="102" t="str">
        <f t="shared" si="17"/>
        <v>Year 0</v>
      </c>
      <c r="T48" s="107"/>
      <c r="U48" s="99"/>
    </row>
    <row r="49" spans="1:21" x14ac:dyDescent="0.35">
      <c r="A49" s="101"/>
      <c r="B49" s="49"/>
      <c r="C49" s="61"/>
      <c r="D49" s="2"/>
      <c r="E49" s="102" t="str">
        <f t="shared" ref="E49:S50" si="18">E11</f>
        <v>2020-21</v>
      </c>
      <c r="F49" s="102" t="str">
        <f t="shared" si="18"/>
        <v>2020-21</v>
      </c>
      <c r="G49" s="102" t="str">
        <f t="shared" si="18"/>
        <v>2020-21</v>
      </c>
      <c r="H49" s="102" t="str">
        <f t="shared" si="18"/>
        <v>2020-21</v>
      </c>
      <c r="I49" s="102" t="str">
        <f t="shared" si="18"/>
        <v>2020-21</v>
      </c>
      <c r="J49" s="102" t="str">
        <f t="shared" si="18"/>
        <v>2020-21</v>
      </c>
      <c r="K49" s="102" t="str">
        <f t="shared" si="18"/>
        <v>2020-21</v>
      </c>
      <c r="L49" s="102" t="str">
        <f t="shared" si="18"/>
        <v>2020-21</v>
      </c>
      <c r="M49" s="102" t="str">
        <f t="shared" si="18"/>
        <v>2020-21</v>
      </c>
      <c r="N49" s="102" t="str">
        <f t="shared" si="18"/>
        <v>2020-21</v>
      </c>
      <c r="O49" s="102" t="str">
        <f t="shared" si="18"/>
        <v>2020-21</v>
      </c>
      <c r="P49" s="102" t="str">
        <f t="shared" si="18"/>
        <v>2020-21</v>
      </c>
      <c r="Q49" s="102" t="str">
        <f t="shared" si="18"/>
        <v>2020-21</v>
      </c>
      <c r="R49" s="102" t="str">
        <f t="shared" si="18"/>
        <v>2020-21</v>
      </c>
      <c r="S49" s="102" t="str">
        <f t="shared" si="18"/>
        <v>2020-21</v>
      </c>
      <c r="T49" s="107"/>
      <c r="U49" s="99"/>
    </row>
    <row r="50" spans="1:21" x14ac:dyDescent="0.35">
      <c r="A50" s="101"/>
      <c r="B50" s="49"/>
      <c r="C50" s="61"/>
      <c r="D50" s="2"/>
      <c r="E50" s="120" t="str">
        <f t="shared" si="18"/>
        <v>Total Budget</v>
      </c>
      <c r="F50" s="120" t="str">
        <f t="shared" si="18"/>
        <v>July</v>
      </c>
      <c r="G50" s="120" t="str">
        <f t="shared" si="18"/>
        <v>August</v>
      </c>
      <c r="H50" s="120" t="str">
        <f t="shared" si="18"/>
        <v>September</v>
      </c>
      <c r="I50" s="120" t="str">
        <f t="shared" si="18"/>
        <v>October</v>
      </c>
      <c r="J50" s="120" t="str">
        <f t="shared" si="18"/>
        <v>November</v>
      </c>
      <c r="K50" s="120" t="str">
        <f t="shared" si="18"/>
        <v>December</v>
      </c>
      <c r="L50" s="120" t="str">
        <f t="shared" si="18"/>
        <v>January</v>
      </c>
      <c r="M50" s="120" t="str">
        <f t="shared" si="18"/>
        <v>February</v>
      </c>
      <c r="N50" s="120" t="str">
        <f t="shared" si="18"/>
        <v>March</v>
      </c>
      <c r="O50" s="120" t="str">
        <f t="shared" si="18"/>
        <v>April</v>
      </c>
      <c r="P50" s="120" t="str">
        <f t="shared" si="18"/>
        <v>May</v>
      </c>
      <c r="Q50" s="120" t="str">
        <f t="shared" si="18"/>
        <v>June</v>
      </c>
      <c r="R50" s="120" t="str">
        <f t="shared" si="18"/>
        <v>Total</v>
      </c>
      <c r="S50" s="120" t="str">
        <f t="shared" si="18"/>
        <v>AR/AP</v>
      </c>
      <c r="T50" s="107"/>
      <c r="U50" s="99"/>
    </row>
    <row r="51" spans="1:21" x14ac:dyDescent="0.35">
      <c r="A51" s="101"/>
      <c r="B51" s="49"/>
      <c r="C51" s="61"/>
      <c r="D51" s="2"/>
      <c r="E51" s="107"/>
      <c r="F51" s="107"/>
      <c r="G51" s="107"/>
      <c r="H51" s="107"/>
      <c r="I51" s="107"/>
      <c r="J51" s="107"/>
      <c r="K51" s="107"/>
      <c r="L51" s="107"/>
      <c r="M51" s="107"/>
      <c r="N51" s="107"/>
      <c r="O51" s="107"/>
      <c r="P51" s="107"/>
      <c r="Q51" s="107"/>
      <c r="R51" s="107"/>
      <c r="S51" s="107"/>
      <c r="T51" s="107"/>
      <c r="U51" s="99"/>
    </row>
    <row r="52" spans="1:21" x14ac:dyDescent="0.35">
      <c r="A52" s="101"/>
      <c r="B52" s="49"/>
      <c r="C52" s="61"/>
      <c r="D52" s="2"/>
      <c r="E52" s="107"/>
      <c r="F52" s="107"/>
      <c r="G52" s="107"/>
      <c r="H52" s="107"/>
      <c r="I52" s="107"/>
      <c r="J52" s="107"/>
      <c r="K52" s="107"/>
      <c r="L52" s="107"/>
      <c r="M52" s="107"/>
      <c r="N52" s="107"/>
      <c r="O52" s="107"/>
      <c r="P52" s="107"/>
      <c r="Q52" s="107"/>
      <c r="R52" s="107"/>
      <c r="S52" s="107"/>
      <c r="T52" s="107"/>
      <c r="U52" s="99"/>
    </row>
    <row r="53" spans="1:21" x14ac:dyDescent="0.35">
      <c r="A53" s="101"/>
      <c r="B53" s="42" t="s">
        <v>154</v>
      </c>
      <c r="C53" s="61"/>
      <c r="D53" s="2"/>
      <c r="E53" s="319" t="s">
        <v>154</v>
      </c>
      <c r="F53" s="322"/>
      <c r="G53" s="323"/>
      <c r="H53" s="323"/>
      <c r="I53" s="323"/>
      <c r="J53" s="323"/>
      <c r="K53" s="323"/>
      <c r="L53" s="323"/>
      <c r="M53" s="323"/>
      <c r="N53" s="323"/>
      <c r="O53" s="323"/>
      <c r="P53" s="323"/>
      <c r="Q53" s="323"/>
      <c r="R53" s="323"/>
      <c r="S53" s="323"/>
      <c r="T53" s="63" t="s">
        <v>133</v>
      </c>
      <c r="U53" s="99"/>
    </row>
    <row r="54" spans="1:21" x14ac:dyDescent="0.35">
      <c r="A54" s="101"/>
      <c r="B54" s="49"/>
      <c r="C54" s="61"/>
      <c r="D54" s="2"/>
      <c r="E54" s="107"/>
      <c r="F54" s="107"/>
      <c r="G54" s="107"/>
      <c r="H54" s="107"/>
      <c r="I54" s="107"/>
      <c r="J54" s="107"/>
      <c r="K54" s="107"/>
      <c r="L54" s="107"/>
      <c r="M54" s="107"/>
      <c r="N54" s="107"/>
      <c r="O54" s="107"/>
      <c r="P54" s="107"/>
      <c r="Q54" s="107"/>
      <c r="R54" s="107"/>
      <c r="S54" s="107"/>
      <c r="T54" s="107"/>
      <c r="U54" s="99"/>
    </row>
    <row r="55" spans="1:21" hidden="1" x14ac:dyDescent="0.35">
      <c r="B55" s="42" t="s">
        <v>102</v>
      </c>
      <c r="C55" s="84"/>
      <c r="D55" s="61"/>
      <c r="E55" s="107"/>
      <c r="F55" s="107"/>
      <c r="G55" s="107"/>
      <c r="H55" s="107"/>
      <c r="I55" s="107"/>
      <c r="J55" s="107"/>
      <c r="K55" s="107"/>
      <c r="L55" s="107"/>
      <c r="M55" s="107"/>
      <c r="N55" s="107"/>
      <c r="O55" s="107"/>
      <c r="P55" s="107"/>
      <c r="Q55" s="107"/>
      <c r="R55" s="107"/>
      <c r="S55" s="107"/>
      <c r="T55" s="107"/>
      <c r="U55" s="99"/>
    </row>
    <row r="56" spans="1:21" hidden="1" x14ac:dyDescent="0.35">
      <c r="B56" s="47" t="s">
        <v>104</v>
      </c>
      <c r="C56" s="113"/>
      <c r="D56" s="97"/>
      <c r="E56" s="107"/>
      <c r="F56" s="107"/>
      <c r="G56" s="107"/>
      <c r="H56" s="107"/>
      <c r="I56" s="107"/>
      <c r="J56" s="107"/>
      <c r="K56" s="107"/>
      <c r="L56" s="107"/>
      <c r="M56" s="107"/>
      <c r="N56" s="107"/>
      <c r="O56" s="107"/>
      <c r="P56" s="107"/>
      <c r="Q56" s="107"/>
      <c r="R56" s="107"/>
      <c r="S56" s="107"/>
      <c r="T56" s="107"/>
      <c r="U56" s="99"/>
    </row>
    <row r="57" spans="1:21" hidden="1" x14ac:dyDescent="0.35">
      <c r="B57" s="47" t="s">
        <v>105</v>
      </c>
      <c r="C57" s="113"/>
      <c r="D57" s="97"/>
      <c r="E57" s="107"/>
      <c r="F57" s="107"/>
      <c r="G57" s="107"/>
      <c r="H57" s="107"/>
      <c r="I57" s="107"/>
      <c r="J57" s="107"/>
      <c r="K57" s="107"/>
      <c r="L57" s="107"/>
      <c r="M57" s="107"/>
      <c r="N57" s="107"/>
      <c r="O57" s="107"/>
      <c r="P57" s="107"/>
      <c r="Q57" s="107"/>
      <c r="R57" s="107"/>
      <c r="S57" s="107"/>
      <c r="T57" s="107"/>
      <c r="U57" s="99"/>
    </row>
    <row r="58" spans="1:21" hidden="1" x14ac:dyDescent="0.35">
      <c r="B58" s="47" t="s">
        <v>106</v>
      </c>
      <c r="C58" s="113"/>
      <c r="D58" s="97"/>
      <c r="E58" s="107"/>
      <c r="F58" s="107"/>
      <c r="G58" s="107"/>
      <c r="H58" s="107"/>
      <c r="I58" s="107"/>
      <c r="J58" s="107"/>
      <c r="K58" s="107"/>
      <c r="L58" s="107"/>
      <c r="M58" s="107"/>
      <c r="N58" s="107"/>
      <c r="O58" s="107"/>
      <c r="P58" s="107"/>
      <c r="Q58" s="107"/>
      <c r="R58" s="107"/>
      <c r="S58" s="107"/>
      <c r="T58" s="107"/>
      <c r="U58" s="99"/>
    </row>
    <row r="59" spans="1:21" hidden="1" x14ac:dyDescent="0.35">
      <c r="B59" s="47" t="s">
        <v>112</v>
      </c>
      <c r="C59" s="113"/>
      <c r="D59" s="97"/>
      <c r="E59" s="107"/>
      <c r="F59" s="107"/>
      <c r="G59" s="107"/>
      <c r="H59" s="107"/>
      <c r="I59" s="107"/>
      <c r="J59" s="107"/>
      <c r="K59" s="107"/>
      <c r="L59" s="107"/>
      <c r="M59" s="107"/>
      <c r="N59" s="107"/>
      <c r="O59" s="107"/>
      <c r="P59" s="107"/>
      <c r="Q59" s="107"/>
      <c r="R59" s="107"/>
      <c r="S59" s="107"/>
      <c r="T59" s="107"/>
      <c r="U59" s="99"/>
    </row>
    <row r="60" spans="1:21" hidden="1" x14ac:dyDescent="0.35">
      <c r="B60" s="47" t="s">
        <v>112</v>
      </c>
      <c r="C60" s="113"/>
      <c r="D60" s="97"/>
      <c r="E60" s="107"/>
      <c r="F60" s="107"/>
      <c r="G60" s="107"/>
      <c r="H60" s="107"/>
      <c r="I60" s="107"/>
      <c r="J60" s="107"/>
      <c r="K60" s="107"/>
      <c r="L60" s="107"/>
      <c r="M60" s="107"/>
      <c r="N60" s="107"/>
      <c r="O60" s="107"/>
      <c r="P60" s="107"/>
      <c r="Q60" s="107"/>
      <c r="R60" s="107"/>
      <c r="S60" s="107"/>
      <c r="T60" s="107"/>
      <c r="U60" s="99"/>
    </row>
    <row r="61" spans="1:21" s="108" customFormat="1" hidden="1" x14ac:dyDescent="0.35">
      <c r="B61" s="47"/>
      <c r="C61" s="114"/>
      <c r="E61" s="107"/>
      <c r="F61" s="107"/>
      <c r="G61" s="107"/>
      <c r="H61" s="107"/>
      <c r="I61" s="107"/>
      <c r="J61" s="107"/>
      <c r="K61" s="107"/>
      <c r="L61" s="107"/>
      <c r="M61" s="107"/>
      <c r="N61" s="107"/>
      <c r="O61" s="107"/>
      <c r="P61" s="107"/>
      <c r="Q61" s="107"/>
      <c r="R61" s="107"/>
      <c r="S61" s="107"/>
      <c r="T61" s="107"/>
      <c r="U61" s="109"/>
    </row>
    <row r="62" spans="1:21" x14ac:dyDescent="0.35">
      <c r="B62" s="45" t="s">
        <v>103</v>
      </c>
      <c r="C62" s="113"/>
      <c r="D62" s="97"/>
      <c r="E62" s="107"/>
      <c r="F62" s="107"/>
      <c r="G62" s="107"/>
      <c r="H62" s="107"/>
      <c r="I62" s="107"/>
      <c r="J62" s="107"/>
      <c r="K62" s="107"/>
      <c r="L62" s="107"/>
      <c r="M62" s="107"/>
      <c r="N62" s="107"/>
      <c r="O62" s="107"/>
      <c r="P62" s="107"/>
      <c r="Q62" s="107"/>
      <c r="R62" s="107"/>
      <c r="S62" s="107"/>
      <c r="T62" s="107"/>
      <c r="U62" s="99"/>
    </row>
    <row r="63" spans="1:21" hidden="1" x14ac:dyDescent="0.35">
      <c r="B63" s="47" t="s">
        <v>107</v>
      </c>
      <c r="C63" s="113"/>
      <c r="D63" s="97"/>
      <c r="E63" s="107"/>
      <c r="F63" s="107"/>
      <c r="G63" s="107"/>
      <c r="H63" s="107"/>
      <c r="I63" s="107"/>
      <c r="J63" s="107"/>
      <c r="K63" s="107"/>
      <c r="L63" s="107"/>
      <c r="M63" s="107"/>
      <c r="N63" s="107"/>
      <c r="O63" s="107"/>
      <c r="P63" s="107"/>
      <c r="Q63" s="107"/>
      <c r="R63" s="107"/>
      <c r="S63" s="107"/>
      <c r="T63" s="107"/>
      <c r="U63" s="99"/>
    </row>
    <row r="64" spans="1:21" hidden="1" x14ac:dyDescent="0.35">
      <c r="B64" s="47" t="s">
        <v>108</v>
      </c>
      <c r="C64" s="113"/>
      <c r="D64" s="97"/>
      <c r="E64" s="107"/>
      <c r="F64" s="107"/>
      <c r="G64" s="107"/>
      <c r="H64" s="107"/>
      <c r="I64" s="107"/>
      <c r="J64" s="107"/>
      <c r="K64" s="107"/>
      <c r="L64" s="107"/>
      <c r="M64" s="107"/>
      <c r="N64" s="107"/>
      <c r="O64" s="107"/>
      <c r="P64" s="107"/>
      <c r="Q64" s="107"/>
      <c r="R64" s="107"/>
      <c r="S64" s="107"/>
      <c r="T64" s="107"/>
      <c r="U64" s="99"/>
    </row>
    <row r="65" spans="2:21" hidden="1" x14ac:dyDescent="0.35">
      <c r="B65" s="47" t="s">
        <v>109</v>
      </c>
      <c r="C65" s="113"/>
      <c r="D65" s="97"/>
      <c r="E65" s="107"/>
      <c r="F65" s="107"/>
      <c r="G65" s="107"/>
      <c r="H65" s="107"/>
      <c r="I65" s="107"/>
      <c r="J65" s="107"/>
      <c r="K65" s="107"/>
      <c r="L65" s="107"/>
      <c r="M65" s="107"/>
      <c r="N65" s="107"/>
      <c r="O65" s="107"/>
      <c r="P65" s="107"/>
      <c r="Q65" s="107"/>
      <c r="R65" s="107"/>
      <c r="S65" s="107"/>
      <c r="T65" s="107"/>
      <c r="U65" s="99"/>
    </row>
    <row r="66" spans="2:21" hidden="1" x14ac:dyDescent="0.35">
      <c r="B66" s="47" t="s">
        <v>115</v>
      </c>
      <c r="C66" s="113"/>
      <c r="D66" s="97"/>
      <c r="E66" s="107"/>
      <c r="F66" s="107"/>
      <c r="G66" s="107"/>
      <c r="H66" s="107"/>
      <c r="I66" s="107"/>
      <c r="J66" s="107"/>
      <c r="K66" s="107"/>
      <c r="L66" s="107"/>
      <c r="M66" s="107"/>
      <c r="N66" s="107"/>
      <c r="O66" s="107"/>
      <c r="P66" s="107"/>
      <c r="Q66" s="107"/>
      <c r="R66" s="107"/>
      <c r="S66" s="107"/>
      <c r="T66" s="107"/>
      <c r="U66" s="99"/>
    </row>
    <row r="67" spans="2:21" hidden="1" x14ac:dyDescent="0.35">
      <c r="B67" s="47" t="s">
        <v>116</v>
      </c>
      <c r="C67" s="113"/>
      <c r="D67" s="97"/>
      <c r="E67" s="107"/>
      <c r="F67" s="107"/>
      <c r="G67" s="107"/>
      <c r="H67" s="107"/>
      <c r="I67" s="107"/>
      <c r="J67" s="107"/>
      <c r="K67" s="107"/>
      <c r="L67" s="107"/>
      <c r="M67" s="107"/>
      <c r="N67" s="107"/>
      <c r="O67" s="107"/>
      <c r="P67" s="107"/>
      <c r="Q67" s="107"/>
      <c r="R67" s="107"/>
      <c r="S67" s="107"/>
      <c r="T67" s="107"/>
      <c r="U67" s="99"/>
    </row>
    <row r="68" spans="2:21" x14ac:dyDescent="0.35">
      <c r="B68" s="47" t="str">
        <f>'3) Pre-Opening Budget'!B30</f>
        <v>CSP Startup Grant</v>
      </c>
      <c r="C68" s="113"/>
      <c r="D68" s="97"/>
      <c r="E68" s="115">
        <f>'3) Pre-Opening Budget'!E30</f>
        <v>0</v>
      </c>
      <c r="F68" s="88">
        <v>0</v>
      </c>
      <c r="G68" s="88">
        <v>0</v>
      </c>
      <c r="H68" s="88">
        <v>0</v>
      </c>
      <c r="I68" s="88">
        <v>0</v>
      </c>
      <c r="J68" s="88">
        <v>0</v>
      </c>
      <c r="K68" s="88">
        <v>0</v>
      </c>
      <c r="L68" s="88">
        <v>0</v>
      </c>
      <c r="M68" s="88">
        <v>0</v>
      </c>
      <c r="N68" s="88">
        <v>0</v>
      </c>
      <c r="O68" s="88"/>
      <c r="P68" s="88">
        <v>0</v>
      </c>
      <c r="Q68" s="88">
        <v>0</v>
      </c>
      <c r="R68" s="78">
        <f t="shared" ref="R68:R84" si="19">SUM(F68:Q68)</f>
        <v>0</v>
      </c>
      <c r="S68" s="78">
        <f>E68-R68</f>
        <v>0</v>
      </c>
      <c r="T68" s="165"/>
      <c r="U68" s="99"/>
    </row>
    <row r="69" spans="2:21" hidden="1" x14ac:dyDescent="0.35">
      <c r="B69" s="47" t="s">
        <v>112</v>
      </c>
      <c r="C69" s="113"/>
      <c r="D69" s="97"/>
      <c r="E69" s="115">
        <f>'3) Pre-Opening Budget'!E31</f>
        <v>0</v>
      </c>
      <c r="F69" s="65">
        <v>0</v>
      </c>
      <c r="G69" s="65">
        <v>0</v>
      </c>
      <c r="H69" s="65">
        <v>0</v>
      </c>
      <c r="I69" s="65">
        <v>0</v>
      </c>
      <c r="J69" s="65">
        <v>0</v>
      </c>
      <c r="K69" s="65">
        <v>0</v>
      </c>
      <c r="L69" s="65">
        <v>0</v>
      </c>
      <c r="M69" s="65">
        <v>0</v>
      </c>
      <c r="N69" s="65">
        <v>0</v>
      </c>
      <c r="O69" s="65">
        <v>0</v>
      </c>
      <c r="P69" s="65">
        <v>0</v>
      </c>
      <c r="Q69" s="65">
        <v>0</v>
      </c>
      <c r="R69" s="78">
        <f t="shared" si="19"/>
        <v>0</v>
      </c>
      <c r="S69" s="78">
        <f>E69-R69</f>
        <v>0</v>
      </c>
      <c r="T69" s="172"/>
      <c r="U69" s="99"/>
    </row>
    <row r="70" spans="2:21" hidden="1" x14ac:dyDescent="0.35">
      <c r="B70" s="47" t="s">
        <v>112</v>
      </c>
      <c r="C70" s="113"/>
      <c r="D70" s="97"/>
      <c r="E70" s="115">
        <f>'3) Pre-Opening Budget'!E32</f>
        <v>0</v>
      </c>
      <c r="F70" s="65">
        <v>0</v>
      </c>
      <c r="G70" s="65">
        <v>0</v>
      </c>
      <c r="H70" s="65">
        <v>0</v>
      </c>
      <c r="I70" s="65">
        <v>0</v>
      </c>
      <c r="J70" s="65">
        <v>0</v>
      </c>
      <c r="K70" s="65">
        <v>0</v>
      </c>
      <c r="L70" s="65">
        <v>0</v>
      </c>
      <c r="M70" s="65">
        <v>0</v>
      </c>
      <c r="N70" s="65">
        <v>0</v>
      </c>
      <c r="O70" s="65">
        <v>0</v>
      </c>
      <c r="P70" s="65">
        <v>0</v>
      </c>
      <c r="Q70" s="65">
        <v>0</v>
      </c>
      <c r="R70" s="78">
        <f t="shared" si="19"/>
        <v>0</v>
      </c>
      <c r="S70" s="78">
        <f>E70-R70</f>
        <v>0</v>
      </c>
      <c r="T70" s="172"/>
      <c r="U70" s="99"/>
    </row>
    <row r="71" spans="2:21" s="108" customFormat="1" x14ac:dyDescent="0.35">
      <c r="B71" s="47"/>
      <c r="C71" s="114"/>
      <c r="E71" s="110"/>
      <c r="F71" s="68"/>
      <c r="G71" s="68"/>
      <c r="H71" s="68"/>
      <c r="I71" s="68"/>
      <c r="J71" s="68"/>
      <c r="K71" s="68"/>
      <c r="L71" s="68"/>
      <c r="M71" s="68"/>
      <c r="N71" s="68"/>
      <c r="O71" s="68"/>
      <c r="P71" s="68"/>
      <c r="Q71" s="68"/>
      <c r="R71" s="68"/>
      <c r="S71" s="83"/>
      <c r="T71" s="167"/>
      <c r="U71" s="109"/>
    </row>
    <row r="72" spans="2:21" s="108" customFormat="1" hidden="1" x14ac:dyDescent="0.35">
      <c r="B72" s="45" t="s">
        <v>111</v>
      </c>
      <c r="C72" s="114"/>
      <c r="E72" s="110">
        <f>'3) Pre-Opening Budget'!E34</f>
        <v>0</v>
      </c>
      <c r="F72" s="68"/>
      <c r="G72" s="68"/>
      <c r="H72" s="68"/>
      <c r="I72" s="68"/>
      <c r="J72" s="68"/>
      <c r="K72" s="68"/>
      <c r="L72" s="68"/>
      <c r="M72" s="68"/>
      <c r="N72" s="68"/>
      <c r="O72" s="68"/>
      <c r="P72" s="68"/>
      <c r="Q72" s="68"/>
      <c r="R72" s="68"/>
      <c r="S72" s="83"/>
      <c r="T72" s="167"/>
      <c r="U72" s="109"/>
    </row>
    <row r="73" spans="2:21" hidden="1" x14ac:dyDescent="0.35">
      <c r="B73" s="47" t="s">
        <v>112</v>
      </c>
      <c r="C73" s="113"/>
      <c r="D73" s="97"/>
      <c r="E73" s="115">
        <f>'3) Pre-Opening Budget'!E35</f>
        <v>0</v>
      </c>
      <c r="F73" s="65">
        <v>0</v>
      </c>
      <c r="G73" s="65">
        <v>0</v>
      </c>
      <c r="H73" s="65">
        <v>0</v>
      </c>
      <c r="I73" s="65">
        <v>0</v>
      </c>
      <c r="J73" s="65">
        <v>0</v>
      </c>
      <c r="K73" s="65">
        <v>0</v>
      </c>
      <c r="L73" s="65">
        <v>0</v>
      </c>
      <c r="M73" s="65">
        <v>0</v>
      </c>
      <c r="N73" s="65">
        <v>0</v>
      </c>
      <c r="O73" s="65">
        <v>0</v>
      </c>
      <c r="P73" s="65">
        <v>0</v>
      </c>
      <c r="Q73" s="65">
        <v>0</v>
      </c>
      <c r="R73" s="65">
        <v>0</v>
      </c>
      <c r="S73" s="78">
        <f>E73-R73</f>
        <v>0</v>
      </c>
      <c r="T73" s="172"/>
      <c r="U73" s="99"/>
    </row>
    <row r="74" spans="2:21" hidden="1" x14ac:dyDescent="0.35">
      <c r="B74" s="47" t="s">
        <v>112</v>
      </c>
      <c r="C74" s="113"/>
      <c r="D74" s="97"/>
      <c r="E74" s="115">
        <f>'3) Pre-Opening Budget'!E36</f>
        <v>0</v>
      </c>
      <c r="F74" s="65">
        <v>0</v>
      </c>
      <c r="G74" s="65">
        <v>0</v>
      </c>
      <c r="H74" s="65">
        <v>0</v>
      </c>
      <c r="I74" s="65">
        <v>0</v>
      </c>
      <c r="J74" s="65">
        <v>0</v>
      </c>
      <c r="K74" s="65">
        <v>0</v>
      </c>
      <c r="L74" s="65">
        <v>0</v>
      </c>
      <c r="M74" s="65">
        <v>0</v>
      </c>
      <c r="N74" s="65">
        <v>0</v>
      </c>
      <c r="O74" s="65">
        <v>0</v>
      </c>
      <c r="P74" s="65">
        <v>0</v>
      </c>
      <c r="Q74" s="65">
        <v>0</v>
      </c>
      <c r="R74" s="65">
        <v>0</v>
      </c>
      <c r="S74" s="78">
        <f>E74-R74</f>
        <v>0</v>
      </c>
      <c r="T74" s="172"/>
      <c r="U74" s="99"/>
    </row>
    <row r="75" spans="2:21" hidden="1" x14ac:dyDescent="0.35">
      <c r="B75" s="47" t="s">
        <v>112</v>
      </c>
      <c r="C75" s="113"/>
      <c r="D75" s="97"/>
      <c r="E75" s="115">
        <f>'3) Pre-Opening Budget'!E37</f>
        <v>0</v>
      </c>
      <c r="F75" s="65">
        <v>0</v>
      </c>
      <c r="G75" s="65">
        <v>0</v>
      </c>
      <c r="H75" s="65">
        <v>0</v>
      </c>
      <c r="I75" s="65">
        <v>0</v>
      </c>
      <c r="J75" s="65">
        <v>0</v>
      </c>
      <c r="K75" s="65">
        <v>0</v>
      </c>
      <c r="L75" s="65">
        <v>0</v>
      </c>
      <c r="M75" s="65">
        <v>0</v>
      </c>
      <c r="N75" s="65">
        <v>0</v>
      </c>
      <c r="O75" s="65">
        <v>0</v>
      </c>
      <c r="P75" s="65">
        <v>0</v>
      </c>
      <c r="Q75" s="65">
        <v>0</v>
      </c>
      <c r="R75" s="65">
        <v>0</v>
      </c>
      <c r="S75" s="78">
        <f>E75-R75</f>
        <v>0</v>
      </c>
      <c r="T75" s="172"/>
      <c r="U75" s="99"/>
    </row>
    <row r="76" spans="2:21" s="108" customFormat="1" hidden="1" x14ac:dyDescent="0.35">
      <c r="B76" s="47" t="s">
        <v>112</v>
      </c>
      <c r="C76" s="113"/>
      <c r="D76" s="97"/>
      <c r="E76" s="115">
        <f>'3) Pre-Opening Budget'!E38</f>
        <v>0</v>
      </c>
      <c r="F76" s="65">
        <v>0</v>
      </c>
      <c r="G76" s="65">
        <v>0</v>
      </c>
      <c r="H76" s="65">
        <v>0</v>
      </c>
      <c r="I76" s="65">
        <v>0</v>
      </c>
      <c r="J76" s="65">
        <v>0</v>
      </c>
      <c r="K76" s="65">
        <v>0</v>
      </c>
      <c r="L76" s="65">
        <v>0</v>
      </c>
      <c r="M76" s="65">
        <v>0</v>
      </c>
      <c r="N76" s="65">
        <v>0</v>
      </c>
      <c r="O76" s="65">
        <v>0</v>
      </c>
      <c r="P76" s="65">
        <v>0</v>
      </c>
      <c r="Q76" s="65">
        <v>0</v>
      </c>
      <c r="R76" s="65">
        <v>0</v>
      </c>
      <c r="S76" s="78">
        <f>E76-R76</f>
        <v>0</v>
      </c>
      <c r="T76" s="172"/>
      <c r="U76" s="109"/>
    </row>
    <row r="77" spans="2:21" hidden="1" x14ac:dyDescent="0.35">
      <c r="B77" s="47" t="s">
        <v>112</v>
      </c>
      <c r="C77" s="113"/>
      <c r="D77" s="97"/>
      <c r="E77" s="115">
        <f>'3) Pre-Opening Budget'!E39</f>
        <v>0</v>
      </c>
      <c r="F77" s="65">
        <v>0</v>
      </c>
      <c r="G77" s="65">
        <v>0</v>
      </c>
      <c r="H77" s="65">
        <v>0</v>
      </c>
      <c r="I77" s="65">
        <v>0</v>
      </c>
      <c r="J77" s="65">
        <v>0</v>
      </c>
      <c r="K77" s="65">
        <v>0</v>
      </c>
      <c r="L77" s="65">
        <v>0</v>
      </c>
      <c r="M77" s="65">
        <v>0</v>
      </c>
      <c r="N77" s="65">
        <v>0</v>
      </c>
      <c r="O77" s="65">
        <v>0</v>
      </c>
      <c r="P77" s="65">
        <v>0</v>
      </c>
      <c r="Q77" s="65">
        <v>0</v>
      </c>
      <c r="R77" s="65">
        <v>0</v>
      </c>
      <c r="S77" s="78">
        <f>E77-R77</f>
        <v>0</v>
      </c>
      <c r="T77" s="172"/>
      <c r="U77" s="99"/>
    </row>
    <row r="78" spans="2:21" s="108" customFormat="1" hidden="1" x14ac:dyDescent="0.35">
      <c r="B78" s="47"/>
      <c r="C78" s="114"/>
      <c r="E78" s="110">
        <f>'3) Pre-Opening Budget'!E40</f>
        <v>0</v>
      </c>
      <c r="F78" s="68"/>
      <c r="G78" s="68"/>
      <c r="H78" s="68"/>
      <c r="I78" s="68"/>
      <c r="J78" s="68"/>
      <c r="K78" s="68"/>
      <c r="L78" s="68"/>
      <c r="M78" s="68"/>
      <c r="N78" s="68"/>
      <c r="O78" s="68"/>
      <c r="P78" s="68"/>
      <c r="Q78" s="68"/>
      <c r="R78" s="68"/>
      <c r="S78" s="83"/>
      <c r="T78" s="167"/>
      <c r="U78" s="109"/>
    </row>
    <row r="79" spans="2:21" x14ac:dyDescent="0.35">
      <c r="B79" s="45" t="s">
        <v>114</v>
      </c>
      <c r="C79" s="114"/>
      <c r="D79" s="108"/>
      <c r="E79" s="110"/>
      <c r="F79" s="68"/>
      <c r="G79" s="68"/>
      <c r="H79" s="68"/>
      <c r="I79" s="68"/>
      <c r="J79" s="68"/>
      <c r="K79" s="68"/>
      <c r="L79" s="68"/>
      <c r="M79" s="68"/>
      <c r="N79" s="68"/>
      <c r="O79" s="68"/>
      <c r="P79" s="68"/>
      <c r="Q79" s="68"/>
      <c r="R79" s="68"/>
      <c r="S79" s="83"/>
      <c r="T79" s="167"/>
      <c r="U79" s="109"/>
    </row>
    <row r="80" spans="2:21" x14ac:dyDescent="0.35">
      <c r="B80" s="47" t="str">
        <f>'3) Pre-Opening Budget'!B42</f>
        <v>Walton Family Foundation</v>
      </c>
      <c r="C80" s="113"/>
      <c r="D80" s="97"/>
      <c r="E80" s="115">
        <f>'3) Pre-Opening Budget'!E42</f>
        <v>325000</v>
      </c>
      <c r="F80" s="87">
        <v>0</v>
      </c>
      <c r="G80" s="87">
        <v>0</v>
      </c>
      <c r="H80" s="87">
        <v>325000</v>
      </c>
      <c r="I80" s="87">
        <v>0</v>
      </c>
      <c r="J80" s="87">
        <v>0</v>
      </c>
      <c r="K80" s="87">
        <v>0</v>
      </c>
      <c r="L80" s="87">
        <v>0</v>
      </c>
      <c r="M80" s="87">
        <v>0</v>
      </c>
      <c r="N80" s="87">
        <v>0</v>
      </c>
      <c r="O80" s="87">
        <v>0</v>
      </c>
      <c r="P80" s="87">
        <v>0</v>
      </c>
      <c r="Q80" s="87">
        <v>0</v>
      </c>
      <c r="R80" s="78">
        <f t="shared" si="19"/>
        <v>325000</v>
      </c>
      <c r="S80" s="78">
        <f>E80-R80</f>
        <v>0</v>
      </c>
      <c r="T80" s="165" t="s">
        <v>349</v>
      </c>
      <c r="U80" s="99"/>
    </row>
    <row r="81" spans="1:21" x14ac:dyDescent="0.35">
      <c r="B81" s="47" t="str">
        <f>'3) Pre-Opening Budget'!B43</f>
        <v>Board Commitmment</v>
      </c>
      <c r="C81" s="113"/>
      <c r="D81" s="97"/>
      <c r="E81" s="115">
        <f>'3) Pre-Opening Budget'!E43</f>
        <v>10000</v>
      </c>
      <c r="F81" s="87">
        <v>0</v>
      </c>
      <c r="G81" s="87">
        <v>0</v>
      </c>
      <c r="H81" s="87">
        <v>0</v>
      </c>
      <c r="I81" s="87">
        <v>0</v>
      </c>
      <c r="J81" s="87">
        <v>0</v>
      </c>
      <c r="K81" s="87">
        <v>0</v>
      </c>
      <c r="L81" s="87">
        <v>0</v>
      </c>
      <c r="M81" s="87">
        <v>0</v>
      </c>
      <c r="N81" s="87">
        <v>0</v>
      </c>
      <c r="O81" s="87">
        <v>0</v>
      </c>
      <c r="P81" s="87">
        <v>0</v>
      </c>
      <c r="Q81" s="87">
        <v>10000</v>
      </c>
      <c r="R81" s="78">
        <f t="shared" si="19"/>
        <v>10000</v>
      </c>
      <c r="S81" s="78">
        <f>E81-R81</f>
        <v>0</v>
      </c>
      <c r="T81" s="165" t="s">
        <v>350</v>
      </c>
      <c r="U81" s="99"/>
    </row>
    <row r="82" spans="1:21" x14ac:dyDescent="0.35">
      <c r="B82" s="47" t="str">
        <f>'3) Pre-Opening Budget'!B44</f>
        <v>Other</v>
      </c>
      <c r="C82" s="113"/>
      <c r="D82" s="97"/>
      <c r="E82" s="115">
        <f>'3) Pre-Opening Budget'!E44</f>
        <v>0</v>
      </c>
      <c r="F82" s="87">
        <v>0</v>
      </c>
      <c r="G82" s="87">
        <v>0</v>
      </c>
      <c r="H82" s="87">
        <v>0</v>
      </c>
      <c r="I82" s="87">
        <v>0</v>
      </c>
      <c r="J82" s="87">
        <v>0</v>
      </c>
      <c r="K82" s="87">
        <v>0</v>
      </c>
      <c r="L82" s="87">
        <v>0</v>
      </c>
      <c r="M82" s="87">
        <v>0</v>
      </c>
      <c r="N82" s="87">
        <v>0</v>
      </c>
      <c r="O82" s="87">
        <v>0</v>
      </c>
      <c r="P82" s="87">
        <v>0</v>
      </c>
      <c r="Q82" s="87">
        <v>0</v>
      </c>
      <c r="R82" s="78">
        <f t="shared" si="19"/>
        <v>0</v>
      </c>
      <c r="S82" s="78">
        <f>E82-R82</f>
        <v>0</v>
      </c>
      <c r="T82" s="165"/>
      <c r="U82" s="99"/>
    </row>
    <row r="83" spans="1:21" s="116" customFormat="1" x14ac:dyDescent="0.35">
      <c r="B83" s="47" t="str">
        <f>'3) Pre-Opening Budget'!B45</f>
        <v>Other</v>
      </c>
      <c r="C83" s="113"/>
      <c r="D83" s="97"/>
      <c r="E83" s="115">
        <f>'3) Pre-Opening Budget'!E45</f>
        <v>0</v>
      </c>
      <c r="F83" s="87">
        <v>0</v>
      </c>
      <c r="G83" s="87">
        <v>0</v>
      </c>
      <c r="H83" s="87">
        <v>0</v>
      </c>
      <c r="I83" s="87">
        <v>0</v>
      </c>
      <c r="J83" s="87">
        <v>0</v>
      </c>
      <c r="K83" s="87">
        <v>0</v>
      </c>
      <c r="L83" s="87">
        <v>0</v>
      </c>
      <c r="M83" s="87">
        <v>0</v>
      </c>
      <c r="N83" s="87">
        <v>0</v>
      </c>
      <c r="O83" s="87">
        <v>0</v>
      </c>
      <c r="P83" s="87">
        <v>0</v>
      </c>
      <c r="Q83" s="87">
        <v>0</v>
      </c>
      <c r="R83" s="78">
        <f t="shared" si="19"/>
        <v>0</v>
      </c>
      <c r="S83" s="78">
        <f>E83-R83</f>
        <v>0</v>
      </c>
      <c r="T83" s="165"/>
      <c r="U83" s="109"/>
    </row>
    <row r="84" spans="1:21" ht="14.65" customHeight="1" x14ac:dyDescent="0.35">
      <c r="B84" s="47" t="str">
        <f>'3) Pre-Opening Budget'!B46</f>
        <v>Other</v>
      </c>
      <c r="C84" s="113"/>
      <c r="D84" s="97"/>
      <c r="E84" s="115">
        <f>'3) Pre-Opening Budget'!E46</f>
        <v>0</v>
      </c>
      <c r="F84" s="87">
        <v>0</v>
      </c>
      <c r="G84" s="87">
        <v>0</v>
      </c>
      <c r="H84" s="87">
        <v>0</v>
      </c>
      <c r="I84" s="87">
        <v>0</v>
      </c>
      <c r="J84" s="87">
        <v>0</v>
      </c>
      <c r="K84" s="87">
        <v>0</v>
      </c>
      <c r="L84" s="87">
        <v>0</v>
      </c>
      <c r="M84" s="87">
        <v>0</v>
      </c>
      <c r="N84" s="87">
        <v>0</v>
      </c>
      <c r="O84" s="87">
        <v>0</v>
      </c>
      <c r="P84" s="87">
        <v>0</v>
      </c>
      <c r="Q84" s="87">
        <v>0</v>
      </c>
      <c r="R84" s="78">
        <f t="shared" si="19"/>
        <v>0</v>
      </c>
      <c r="S84" s="78">
        <f>E84-R84</f>
        <v>0</v>
      </c>
      <c r="T84" s="165"/>
      <c r="U84" s="99"/>
    </row>
    <row r="85" spans="1:21" x14ac:dyDescent="0.35">
      <c r="A85" s="101"/>
      <c r="B85" s="47"/>
      <c r="C85" s="105"/>
      <c r="D85" s="61"/>
      <c r="E85" s="40"/>
      <c r="F85" s="40"/>
      <c r="G85" s="40"/>
      <c r="H85" s="40"/>
      <c r="I85" s="40"/>
      <c r="J85" s="40"/>
      <c r="K85" s="40"/>
      <c r="L85" s="40"/>
      <c r="M85" s="40"/>
      <c r="N85" s="40"/>
      <c r="O85" s="40"/>
      <c r="P85" s="40"/>
      <c r="Q85" s="40"/>
      <c r="R85" s="40"/>
      <c r="S85" s="40"/>
      <c r="T85" s="69"/>
      <c r="U85" s="99"/>
    </row>
    <row r="86" spans="1:21" ht="15" thickBot="1" x14ac:dyDescent="0.4">
      <c r="B86" s="117" t="s">
        <v>113</v>
      </c>
      <c r="C86" s="108"/>
      <c r="D86" s="97"/>
      <c r="E86" s="71">
        <f>'3) Pre-Opening Budget'!E48</f>
        <v>335000</v>
      </c>
      <c r="F86" s="71">
        <f>F68+SUM(F80:F84)</f>
        <v>0</v>
      </c>
      <c r="G86" s="71">
        <f t="shared" ref="G86:S86" si="20">G68+SUM(G80:G84)</f>
        <v>0</v>
      </c>
      <c r="H86" s="71">
        <f t="shared" si="20"/>
        <v>325000</v>
      </c>
      <c r="I86" s="71">
        <f t="shared" si="20"/>
        <v>0</v>
      </c>
      <c r="J86" s="71">
        <f t="shared" si="20"/>
        <v>0</v>
      </c>
      <c r="K86" s="71">
        <f t="shared" si="20"/>
        <v>0</v>
      </c>
      <c r="L86" s="71">
        <f t="shared" si="20"/>
        <v>0</v>
      </c>
      <c r="M86" s="71">
        <f t="shared" si="20"/>
        <v>0</v>
      </c>
      <c r="N86" s="71">
        <f t="shared" si="20"/>
        <v>0</v>
      </c>
      <c r="O86" s="71">
        <f t="shared" si="20"/>
        <v>0</v>
      </c>
      <c r="P86" s="71">
        <f t="shared" si="20"/>
        <v>0</v>
      </c>
      <c r="Q86" s="71">
        <f t="shared" si="20"/>
        <v>10000</v>
      </c>
      <c r="R86" s="71">
        <f t="shared" si="20"/>
        <v>335000</v>
      </c>
      <c r="S86" s="71">
        <f t="shared" si="20"/>
        <v>0</v>
      </c>
      <c r="T86" s="72"/>
      <c r="U86" s="99"/>
    </row>
    <row r="87" spans="1:21" ht="15.5" thickTop="1" thickBot="1" x14ac:dyDescent="0.4">
      <c r="B87" s="217"/>
      <c r="C87" s="218"/>
      <c r="D87" s="133"/>
      <c r="E87" s="219"/>
      <c r="F87" s="219"/>
      <c r="G87" s="219"/>
      <c r="H87" s="219"/>
      <c r="I87" s="219"/>
      <c r="J87" s="219"/>
      <c r="K87" s="219"/>
      <c r="L87" s="219"/>
      <c r="M87" s="219"/>
      <c r="N87" s="219"/>
      <c r="O87" s="219"/>
      <c r="P87" s="219"/>
      <c r="Q87" s="219"/>
      <c r="R87" s="219"/>
      <c r="S87" s="219"/>
      <c r="T87" s="219"/>
      <c r="U87" s="134"/>
    </row>
    <row r="88" spans="1:21" x14ac:dyDescent="0.35">
      <c r="A88" s="101"/>
      <c r="B88" s="223"/>
      <c r="C88" s="224"/>
      <c r="D88" s="94"/>
      <c r="E88" s="316" t="s">
        <v>155</v>
      </c>
      <c r="F88" s="317"/>
      <c r="G88" s="318"/>
      <c r="H88" s="318"/>
      <c r="I88" s="318"/>
      <c r="J88" s="318"/>
      <c r="K88" s="318"/>
      <c r="L88" s="318"/>
      <c r="M88" s="318"/>
      <c r="N88" s="318"/>
      <c r="O88" s="318"/>
      <c r="P88" s="318"/>
      <c r="Q88" s="318"/>
      <c r="R88" s="318"/>
      <c r="S88" s="318"/>
      <c r="T88" s="225"/>
      <c r="U88" s="95"/>
    </row>
    <row r="89" spans="1:21" x14ac:dyDescent="0.35">
      <c r="A89" s="101"/>
      <c r="B89" s="119"/>
      <c r="C89" s="108"/>
      <c r="D89" s="97"/>
      <c r="E89" s="118"/>
      <c r="F89" s="118"/>
      <c r="G89" s="118"/>
      <c r="H89" s="118"/>
      <c r="I89" s="118"/>
      <c r="J89" s="118"/>
      <c r="K89" s="118"/>
      <c r="L89" s="118"/>
      <c r="M89" s="118"/>
      <c r="N89" s="118"/>
      <c r="O89" s="118"/>
      <c r="P89" s="118"/>
      <c r="Q89" s="118"/>
      <c r="R89" s="118"/>
      <c r="S89" s="118"/>
      <c r="T89" s="118"/>
      <c r="U89" s="99"/>
    </row>
    <row r="90" spans="1:21" x14ac:dyDescent="0.35">
      <c r="A90" s="101"/>
      <c r="B90" s="47"/>
      <c r="C90" s="105"/>
      <c r="D90" s="2"/>
      <c r="E90" s="120" t="str">
        <f>E10</f>
        <v>Year 0</v>
      </c>
      <c r="F90" s="120" t="str">
        <f t="shared" ref="F90:S92" si="21">F10</f>
        <v>Year 0</v>
      </c>
      <c r="G90" s="120" t="str">
        <f t="shared" si="21"/>
        <v>Year 0</v>
      </c>
      <c r="H90" s="120" t="str">
        <f t="shared" si="21"/>
        <v>Year 0</v>
      </c>
      <c r="I90" s="120" t="str">
        <f t="shared" si="21"/>
        <v>Year 0</v>
      </c>
      <c r="J90" s="120" t="str">
        <f t="shared" si="21"/>
        <v>Year 0</v>
      </c>
      <c r="K90" s="120" t="str">
        <f t="shared" si="21"/>
        <v>Year 0</v>
      </c>
      <c r="L90" s="120" t="str">
        <f t="shared" si="21"/>
        <v>Year 0</v>
      </c>
      <c r="M90" s="120" t="str">
        <f t="shared" si="21"/>
        <v>Year 0</v>
      </c>
      <c r="N90" s="120" t="str">
        <f t="shared" si="21"/>
        <v>Year 0</v>
      </c>
      <c r="O90" s="120" t="str">
        <f t="shared" si="21"/>
        <v>Year 0</v>
      </c>
      <c r="P90" s="120" t="str">
        <f t="shared" si="21"/>
        <v>Year 0</v>
      </c>
      <c r="Q90" s="120" t="str">
        <f t="shared" si="21"/>
        <v>Year 0</v>
      </c>
      <c r="R90" s="120" t="str">
        <f t="shared" si="21"/>
        <v>Year 0</v>
      </c>
      <c r="S90" s="120" t="str">
        <f t="shared" si="21"/>
        <v>Year 0</v>
      </c>
      <c r="T90" s="103"/>
      <c r="U90" s="99"/>
    </row>
    <row r="91" spans="1:21" x14ac:dyDescent="0.35">
      <c r="A91" s="101"/>
      <c r="B91" s="47"/>
      <c r="C91" s="105"/>
      <c r="D91" s="61"/>
      <c r="E91" s="121" t="str">
        <f>E11</f>
        <v>2020-21</v>
      </c>
      <c r="F91" s="121" t="str">
        <f t="shared" si="21"/>
        <v>2020-21</v>
      </c>
      <c r="G91" s="121" t="str">
        <f t="shared" si="21"/>
        <v>2020-21</v>
      </c>
      <c r="H91" s="121" t="str">
        <f t="shared" si="21"/>
        <v>2020-21</v>
      </c>
      <c r="I91" s="121" t="str">
        <f t="shared" si="21"/>
        <v>2020-21</v>
      </c>
      <c r="J91" s="121" t="str">
        <f t="shared" si="21"/>
        <v>2020-21</v>
      </c>
      <c r="K91" s="121" t="str">
        <f t="shared" si="21"/>
        <v>2020-21</v>
      </c>
      <c r="L91" s="121" t="str">
        <f t="shared" si="21"/>
        <v>2020-21</v>
      </c>
      <c r="M91" s="121" t="str">
        <f t="shared" si="21"/>
        <v>2020-21</v>
      </c>
      <c r="N91" s="121" t="str">
        <f t="shared" si="21"/>
        <v>2020-21</v>
      </c>
      <c r="O91" s="121" t="str">
        <f t="shared" si="21"/>
        <v>2020-21</v>
      </c>
      <c r="P91" s="121" t="str">
        <f t="shared" si="21"/>
        <v>2020-21</v>
      </c>
      <c r="Q91" s="121" t="str">
        <f t="shared" si="21"/>
        <v>2020-21</v>
      </c>
      <c r="R91" s="121" t="str">
        <f t="shared" si="21"/>
        <v>2020-21</v>
      </c>
      <c r="S91" s="121" t="str">
        <f t="shared" si="21"/>
        <v>2020-21</v>
      </c>
      <c r="T91" s="122"/>
      <c r="U91" s="99"/>
    </row>
    <row r="92" spans="1:21" x14ac:dyDescent="0.35">
      <c r="A92" s="101"/>
      <c r="B92" s="47"/>
      <c r="C92" s="105"/>
      <c r="D92" s="61"/>
      <c r="E92" s="121" t="str">
        <f>E12</f>
        <v>Total Budget</v>
      </c>
      <c r="F92" s="121" t="str">
        <f t="shared" si="21"/>
        <v>July</v>
      </c>
      <c r="G92" s="121" t="str">
        <f t="shared" si="21"/>
        <v>August</v>
      </c>
      <c r="H92" s="121" t="str">
        <f t="shared" si="21"/>
        <v>September</v>
      </c>
      <c r="I92" s="121" t="str">
        <f t="shared" si="21"/>
        <v>October</v>
      </c>
      <c r="J92" s="121" t="str">
        <f t="shared" si="21"/>
        <v>November</v>
      </c>
      <c r="K92" s="121" t="str">
        <f t="shared" si="21"/>
        <v>December</v>
      </c>
      <c r="L92" s="121" t="str">
        <f t="shared" si="21"/>
        <v>January</v>
      </c>
      <c r="M92" s="121" t="str">
        <f t="shared" si="21"/>
        <v>February</v>
      </c>
      <c r="N92" s="121" t="str">
        <f t="shared" si="21"/>
        <v>March</v>
      </c>
      <c r="O92" s="121" t="str">
        <f t="shared" si="21"/>
        <v>April</v>
      </c>
      <c r="P92" s="121" t="str">
        <f t="shared" si="21"/>
        <v>May</v>
      </c>
      <c r="Q92" s="121" t="str">
        <f t="shared" si="21"/>
        <v>June</v>
      </c>
      <c r="R92" s="121" t="str">
        <f t="shared" si="21"/>
        <v>Total</v>
      </c>
      <c r="S92" s="121" t="str">
        <f t="shared" si="21"/>
        <v>AR/AP</v>
      </c>
      <c r="T92" s="122"/>
      <c r="U92" s="99"/>
    </row>
    <row r="93" spans="1:21" x14ac:dyDescent="0.35">
      <c r="A93" s="101"/>
      <c r="B93" s="47"/>
      <c r="C93" s="105"/>
      <c r="D93" s="61"/>
      <c r="E93" s="122"/>
      <c r="F93" s="122"/>
      <c r="G93" s="122"/>
      <c r="H93" s="122"/>
      <c r="I93" s="122"/>
      <c r="J93" s="122"/>
      <c r="K93" s="122"/>
      <c r="L93" s="122"/>
      <c r="M93" s="122"/>
      <c r="N93" s="122"/>
      <c r="O93" s="122"/>
      <c r="P93" s="122"/>
      <c r="Q93" s="122"/>
      <c r="R93" s="122"/>
      <c r="S93" s="122"/>
      <c r="T93" s="122"/>
      <c r="U93" s="99"/>
    </row>
    <row r="94" spans="1:21" x14ac:dyDescent="0.35">
      <c r="A94" s="101"/>
      <c r="B94" s="123" t="s">
        <v>155</v>
      </c>
      <c r="C94" s="84"/>
      <c r="D94" s="61"/>
      <c r="E94" s="110"/>
      <c r="F94" s="68"/>
      <c r="G94" s="68"/>
      <c r="H94" s="68"/>
      <c r="I94" s="68"/>
      <c r="J94" s="68"/>
      <c r="K94" s="68"/>
      <c r="L94" s="68"/>
      <c r="M94" s="68"/>
      <c r="N94" s="68"/>
      <c r="O94" s="68"/>
      <c r="P94" s="68"/>
      <c r="Q94" s="68"/>
      <c r="R94" s="68"/>
      <c r="S94" s="68"/>
      <c r="T94" s="63" t="s">
        <v>133</v>
      </c>
      <c r="U94" s="99"/>
    </row>
    <row r="95" spans="1:21" x14ac:dyDescent="0.35">
      <c r="A95" s="101"/>
      <c r="B95" s="124" t="str">
        <f>'3) Pre-Opening Budget'!B63</f>
        <v>Principal/School Leader</v>
      </c>
      <c r="C95" s="125"/>
      <c r="D95" s="61"/>
      <c r="E95" s="115">
        <f>'3) Pre-Opening Budget'!E63</f>
        <v>78850</v>
      </c>
      <c r="F95" s="87">
        <v>0</v>
      </c>
      <c r="G95" s="87">
        <v>0</v>
      </c>
      <c r="H95" s="87">
        <f t="shared" ref="H95:O95" si="22">$E95/10</f>
        <v>7885</v>
      </c>
      <c r="I95" s="87">
        <f t="shared" si="22"/>
        <v>7885</v>
      </c>
      <c r="J95" s="87">
        <f t="shared" si="22"/>
        <v>7885</v>
      </c>
      <c r="K95" s="87">
        <f t="shared" si="22"/>
        <v>7885</v>
      </c>
      <c r="L95" s="87">
        <f t="shared" si="22"/>
        <v>7885</v>
      </c>
      <c r="M95" s="87">
        <f t="shared" si="22"/>
        <v>7885</v>
      </c>
      <c r="N95" s="87">
        <f t="shared" si="22"/>
        <v>7885</v>
      </c>
      <c r="O95" s="87">
        <f t="shared" si="22"/>
        <v>7885</v>
      </c>
      <c r="P95" s="87">
        <v>7885</v>
      </c>
      <c r="Q95" s="87">
        <f>$E95/10</f>
        <v>7885</v>
      </c>
      <c r="R95" s="78">
        <f>SUM(F95:Q95)</f>
        <v>78850</v>
      </c>
      <c r="S95" s="78">
        <f>E95-R95</f>
        <v>0</v>
      </c>
      <c r="T95" s="165" t="s">
        <v>391</v>
      </c>
      <c r="U95" s="99"/>
    </row>
    <row r="96" spans="1:21" x14ac:dyDescent="0.35">
      <c r="A96" s="101"/>
      <c r="B96" s="124" t="str">
        <f>'3) Pre-Opening Budget'!B64</f>
        <v>Assistant Principal</v>
      </c>
      <c r="C96" s="125"/>
      <c r="D96" s="97"/>
      <c r="E96" s="115">
        <f>'3) Pre-Opening Budget'!E64</f>
        <v>0</v>
      </c>
      <c r="F96" s="87">
        <f>$E96/12</f>
        <v>0</v>
      </c>
      <c r="G96" s="87">
        <f t="shared" ref="G96:Q99" si="23">$E96/12</f>
        <v>0</v>
      </c>
      <c r="H96" s="87">
        <f t="shared" si="23"/>
        <v>0</v>
      </c>
      <c r="I96" s="87">
        <f t="shared" si="23"/>
        <v>0</v>
      </c>
      <c r="J96" s="87">
        <f t="shared" si="23"/>
        <v>0</v>
      </c>
      <c r="K96" s="87">
        <f t="shared" si="23"/>
        <v>0</v>
      </c>
      <c r="L96" s="87">
        <f t="shared" si="23"/>
        <v>0</v>
      </c>
      <c r="M96" s="87">
        <f t="shared" si="23"/>
        <v>0</v>
      </c>
      <c r="N96" s="87">
        <f t="shared" si="23"/>
        <v>0</v>
      </c>
      <c r="O96" s="87">
        <f t="shared" si="23"/>
        <v>0</v>
      </c>
      <c r="P96" s="87">
        <f t="shared" si="23"/>
        <v>0</v>
      </c>
      <c r="Q96" s="87">
        <f t="shared" si="23"/>
        <v>0</v>
      </c>
      <c r="R96" s="78">
        <f>SUM(F96:Q96)</f>
        <v>0</v>
      </c>
      <c r="S96" s="78">
        <f>E96-R96</f>
        <v>0</v>
      </c>
      <c r="T96" s="166"/>
      <c r="U96" s="99"/>
    </row>
    <row r="97" spans="1:21" x14ac:dyDescent="0.35">
      <c r="A97" s="101"/>
      <c r="B97" s="124" t="str">
        <f>'3) Pre-Opening Budget'!B65</f>
        <v>Special Education Coordinator</v>
      </c>
      <c r="C97" s="125"/>
      <c r="D97" s="97"/>
      <c r="E97" s="115">
        <f>'3) Pre-Opening Budget'!E65</f>
        <v>0</v>
      </c>
      <c r="F97" s="87">
        <f>$E97/12</f>
        <v>0</v>
      </c>
      <c r="G97" s="87">
        <f t="shared" si="23"/>
        <v>0</v>
      </c>
      <c r="H97" s="87">
        <f t="shared" si="23"/>
        <v>0</v>
      </c>
      <c r="I97" s="87">
        <f t="shared" si="23"/>
        <v>0</v>
      </c>
      <c r="J97" s="87">
        <f t="shared" si="23"/>
        <v>0</v>
      </c>
      <c r="K97" s="87">
        <f t="shared" si="23"/>
        <v>0</v>
      </c>
      <c r="L97" s="87">
        <f t="shared" si="23"/>
        <v>0</v>
      </c>
      <c r="M97" s="87">
        <f t="shared" si="23"/>
        <v>0</v>
      </c>
      <c r="N97" s="87">
        <f t="shared" si="23"/>
        <v>0</v>
      </c>
      <c r="O97" s="87">
        <f t="shared" si="23"/>
        <v>0</v>
      </c>
      <c r="P97" s="87">
        <f t="shared" si="23"/>
        <v>0</v>
      </c>
      <c r="Q97" s="87">
        <f t="shared" si="23"/>
        <v>0</v>
      </c>
      <c r="R97" s="78">
        <f>SUM(F97:Q97)</f>
        <v>0</v>
      </c>
      <c r="S97" s="78">
        <f>E97-R97</f>
        <v>0</v>
      </c>
      <c r="T97" s="166"/>
      <c r="U97" s="99"/>
    </row>
    <row r="98" spans="1:21" x14ac:dyDescent="0.35">
      <c r="A98" s="101"/>
      <c r="B98" s="124" t="str">
        <f>'3) Pre-Opening Budget'!B66</f>
        <v>Deans, Directors</v>
      </c>
      <c r="C98" s="125"/>
      <c r="D98" s="97"/>
      <c r="E98" s="115">
        <f>'3) Pre-Opening Budget'!E66</f>
        <v>30000</v>
      </c>
      <c r="F98" s="87">
        <v>0</v>
      </c>
      <c r="G98" s="87">
        <v>0</v>
      </c>
      <c r="H98" s="87">
        <v>0</v>
      </c>
      <c r="I98" s="87">
        <v>0</v>
      </c>
      <c r="J98" s="87">
        <v>0</v>
      </c>
      <c r="K98" s="87">
        <v>0</v>
      </c>
      <c r="L98" s="87">
        <f t="shared" ref="L98:Q98" si="24">$E98/6</f>
        <v>5000</v>
      </c>
      <c r="M98" s="87">
        <f t="shared" si="24"/>
        <v>5000</v>
      </c>
      <c r="N98" s="87">
        <f t="shared" si="24"/>
        <v>5000</v>
      </c>
      <c r="O98" s="87">
        <f t="shared" si="24"/>
        <v>5000</v>
      </c>
      <c r="P98" s="87">
        <f t="shared" si="24"/>
        <v>5000</v>
      </c>
      <c r="Q98" s="87">
        <f t="shared" si="24"/>
        <v>5000</v>
      </c>
      <c r="R98" s="78">
        <f>SUM(F98:Q98)</f>
        <v>30000</v>
      </c>
      <c r="S98" s="78">
        <f>E98-R98</f>
        <v>0</v>
      </c>
      <c r="T98" s="165" t="s">
        <v>392</v>
      </c>
      <c r="U98" s="99"/>
    </row>
    <row r="99" spans="1:21" x14ac:dyDescent="0.35">
      <c r="A99" s="101"/>
      <c r="B99" s="124" t="str">
        <f>'3) Pre-Opening Budget'!B67</f>
        <v>Other (Specify in Assumptions)</v>
      </c>
      <c r="C99" s="125"/>
      <c r="D99" s="97"/>
      <c r="E99" s="115">
        <f>'3) Pre-Opening Budget'!E67</f>
        <v>0</v>
      </c>
      <c r="F99" s="87">
        <f>$E99/12</f>
        <v>0</v>
      </c>
      <c r="G99" s="87">
        <f t="shared" si="23"/>
        <v>0</v>
      </c>
      <c r="H99" s="87">
        <f t="shared" si="23"/>
        <v>0</v>
      </c>
      <c r="I99" s="87">
        <f t="shared" si="23"/>
        <v>0</v>
      </c>
      <c r="J99" s="87">
        <f t="shared" si="23"/>
        <v>0</v>
      </c>
      <c r="K99" s="87">
        <f t="shared" si="23"/>
        <v>0</v>
      </c>
      <c r="L99" s="87">
        <f t="shared" si="23"/>
        <v>0</v>
      </c>
      <c r="M99" s="87">
        <f t="shared" si="23"/>
        <v>0</v>
      </c>
      <c r="N99" s="87">
        <f t="shared" si="23"/>
        <v>0</v>
      </c>
      <c r="O99" s="87">
        <f t="shared" si="23"/>
        <v>0</v>
      </c>
      <c r="P99" s="87">
        <f t="shared" si="23"/>
        <v>0</v>
      </c>
      <c r="Q99" s="87">
        <f t="shared" si="23"/>
        <v>0</v>
      </c>
      <c r="R99" s="78">
        <f>SUM(F99:Q99)</f>
        <v>0</v>
      </c>
      <c r="S99" s="78">
        <f>E99-R99</f>
        <v>0</v>
      </c>
      <c r="T99" s="166"/>
      <c r="U99" s="99"/>
    </row>
    <row r="100" spans="1:21" x14ac:dyDescent="0.35">
      <c r="A100" s="101"/>
      <c r="B100" s="123" t="str">
        <f>'5) Year 1-5 Staff Assumptions'!B56</f>
        <v>Total Administrative Compensation</v>
      </c>
      <c r="C100" s="126"/>
      <c r="D100" s="127"/>
      <c r="E100" s="115">
        <f>'3) Pre-Opening Budget'!E68</f>
        <v>108850</v>
      </c>
      <c r="F100" s="135">
        <f>SUM(F95:F99)</f>
        <v>0</v>
      </c>
      <c r="G100" s="135">
        <f t="shared" ref="G100:S100" si="25">SUM(G95:G99)</f>
        <v>0</v>
      </c>
      <c r="H100" s="135">
        <f t="shared" si="25"/>
        <v>7885</v>
      </c>
      <c r="I100" s="135">
        <f t="shared" si="25"/>
        <v>7885</v>
      </c>
      <c r="J100" s="135">
        <f t="shared" si="25"/>
        <v>7885</v>
      </c>
      <c r="K100" s="135">
        <f t="shared" si="25"/>
        <v>7885</v>
      </c>
      <c r="L100" s="135">
        <f t="shared" si="25"/>
        <v>12885</v>
      </c>
      <c r="M100" s="135">
        <f t="shared" si="25"/>
        <v>12885</v>
      </c>
      <c r="N100" s="135">
        <f t="shared" si="25"/>
        <v>12885</v>
      </c>
      <c r="O100" s="135">
        <f t="shared" si="25"/>
        <v>12885</v>
      </c>
      <c r="P100" s="135">
        <f t="shared" si="25"/>
        <v>12885</v>
      </c>
      <c r="Q100" s="135">
        <f t="shared" si="25"/>
        <v>12885</v>
      </c>
      <c r="R100" s="135">
        <f t="shared" si="25"/>
        <v>108850</v>
      </c>
      <c r="S100" s="135">
        <f t="shared" si="25"/>
        <v>0</v>
      </c>
      <c r="T100" s="176"/>
      <c r="U100" s="99"/>
    </row>
    <row r="101" spans="1:21" x14ac:dyDescent="0.35">
      <c r="A101" s="101"/>
      <c r="B101" s="124"/>
      <c r="C101" s="125"/>
      <c r="D101" s="97"/>
      <c r="E101" s="110"/>
      <c r="F101" s="136"/>
      <c r="G101" s="136"/>
      <c r="H101" s="136"/>
      <c r="I101" s="136"/>
      <c r="J101" s="136"/>
      <c r="K101" s="136"/>
      <c r="L101" s="136"/>
      <c r="M101" s="136"/>
      <c r="N101" s="136"/>
      <c r="O101" s="136"/>
      <c r="P101" s="136"/>
      <c r="Q101" s="136"/>
      <c r="R101" s="110"/>
      <c r="S101" s="110"/>
      <c r="T101" s="177"/>
      <c r="U101" s="99"/>
    </row>
    <row r="102" spans="1:21" x14ac:dyDescent="0.35">
      <c r="A102" s="101"/>
      <c r="B102" s="124" t="str">
        <f>'5) Year 1-5 Staff Assumptions'!B58</f>
        <v>Instructional Staff</v>
      </c>
      <c r="C102" s="125"/>
      <c r="D102" s="128"/>
      <c r="E102" s="128"/>
      <c r="F102" s="137"/>
      <c r="G102" s="137"/>
      <c r="H102" s="137"/>
      <c r="I102" s="137"/>
      <c r="J102" s="137"/>
      <c r="K102" s="137"/>
      <c r="L102" s="137"/>
      <c r="M102" s="137"/>
      <c r="N102" s="137"/>
      <c r="O102" s="137"/>
      <c r="P102" s="137"/>
      <c r="Q102" s="137"/>
      <c r="R102" s="128"/>
      <c r="S102" s="128"/>
      <c r="T102" s="178"/>
      <c r="U102" s="99"/>
    </row>
    <row r="103" spans="1:21" x14ac:dyDescent="0.35">
      <c r="A103" s="101"/>
      <c r="B103" s="124" t="str">
        <f>'3) Pre-Opening Budget'!B71</f>
        <v>Teachers</v>
      </c>
      <c r="C103" s="125"/>
      <c r="D103" s="97"/>
      <c r="E103" s="115">
        <f>'3) Pre-Opening Budget'!E71</f>
        <v>0</v>
      </c>
      <c r="F103" s="87">
        <f>$E103/12</f>
        <v>0</v>
      </c>
      <c r="G103" s="87">
        <f t="shared" ref="G103:Q107" si="26">$E103/12</f>
        <v>0</v>
      </c>
      <c r="H103" s="87">
        <f t="shared" si="26"/>
        <v>0</v>
      </c>
      <c r="I103" s="87">
        <f t="shared" si="26"/>
        <v>0</v>
      </c>
      <c r="J103" s="87">
        <f t="shared" si="26"/>
        <v>0</v>
      </c>
      <c r="K103" s="87">
        <f t="shared" si="26"/>
        <v>0</v>
      </c>
      <c r="L103" s="87">
        <f t="shared" si="26"/>
        <v>0</v>
      </c>
      <c r="M103" s="87">
        <f t="shared" si="26"/>
        <v>0</v>
      </c>
      <c r="N103" s="87">
        <f t="shared" si="26"/>
        <v>0</v>
      </c>
      <c r="O103" s="87">
        <f t="shared" si="26"/>
        <v>0</v>
      </c>
      <c r="P103" s="87">
        <f t="shared" si="26"/>
        <v>0</v>
      </c>
      <c r="Q103" s="87">
        <f t="shared" si="26"/>
        <v>0</v>
      </c>
      <c r="R103" s="78">
        <f>SUM(F103:Q103)</f>
        <v>0</v>
      </c>
      <c r="S103" s="78">
        <f>E103-R103</f>
        <v>0</v>
      </c>
      <c r="T103" s="166"/>
      <c r="U103" s="99"/>
    </row>
    <row r="104" spans="1:21" x14ac:dyDescent="0.35">
      <c r="A104" s="101"/>
      <c r="B104" s="124" t="str">
        <f>'3) Pre-Opening Budget'!B72</f>
        <v>Special Education Teachers</v>
      </c>
      <c r="C104" s="125"/>
      <c r="D104" s="97"/>
      <c r="E104" s="115">
        <f>'3) Pre-Opening Budget'!E72</f>
        <v>0</v>
      </c>
      <c r="F104" s="87">
        <f>$E104/12</f>
        <v>0</v>
      </c>
      <c r="G104" s="87">
        <f t="shared" si="26"/>
        <v>0</v>
      </c>
      <c r="H104" s="87">
        <f t="shared" si="26"/>
        <v>0</v>
      </c>
      <c r="I104" s="87">
        <f t="shared" si="26"/>
        <v>0</v>
      </c>
      <c r="J104" s="87">
        <f t="shared" si="26"/>
        <v>0</v>
      </c>
      <c r="K104" s="87">
        <f t="shared" si="26"/>
        <v>0</v>
      </c>
      <c r="L104" s="87">
        <f t="shared" si="26"/>
        <v>0</v>
      </c>
      <c r="M104" s="87">
        <f t="shared" si="26"/>
        <v>0</v>
      </c>
      <c r="N104" s="87">
        <f t="shared" si="26"/>
        <v>0</v>
      </c>
      <c r="O104" s="87">
        <f t="shared" si="26"/>
        <v>0</v>
      </c>
      <c r="P104" s="87">
        <f t="shared" si="26"/>
        <v>0</v>
      </c>
      <c r="Q104" s="87">
        <f t="shared" si="26"/>
        <v>0</v>
      </c>
      <c r="R104" s="78">
        <f>SUM(F104:Q104)</f>
        <v>0</v>
      </c>
      <c r="S104" s="78">
        <f>E104-R104</f>
        <v>0</v>
      </c>
      <c r="T104" s="166"/>
      <c r="U104" s="99"/>
    </row>
    <row r="105" spans="1:21" x14ac:dyDescent="0.35">
      <c r="A105" s="101"/>
      <c r="B105" s="124" t="str">
        <f>'3) Pre-Opening Budget'!B73</f>
        <v>Eduacational Assistants/Aides</v>
      </c>
      <c r="C105" s="125"/>
      <c r="D105" s="97"/>
      <c r="E105" s="115">
        <f>'3) Pre-Opening Budget'!E73</f>
        <v>0</v>
      </c>
      <c r="F105" s="87">
        <f>$E105/12</f>
        <v>0</v>
      </c>
      <c r="G105" s="87">
        <f t="shared" si="26"/>
        <v>0</v>
      </c>
      <c r="H105" s="87">
        <f t="shared" si="26"/>
        <v>0</v>
      </c>
      <c r="I105" s="87">
        <f t="shared" si="26"/>
        <v>0</v>
      </c>
      <c r="J105" s="87">
        <f t="shared" si="26"/>
        <v>0</v>
      </c>
      <c r="K105" s="87">
        <f t="shared" si="26"/>
        <v>0</v>
      </c>
      <c r="L105" s="87">
        <f t="shared" si="26"/>
        <v>0</v>
      </c>
      <c r="M105" s="87">
        <f t="shared" si="26"/>
        <v>0</v>
      </c>
      <c r="N105" s="87">
        <f t="shared" si="26"/>
        <v>0</v>
      </c>
      <c r="O105" s="87">
        <f t="shared" si="26"/>
        <v>0</v>
      </c>
      <c r="P105" s="87">
        <f t="shared" si="26"/>
        <v>0</v>
      </c>
      <c r="Q105" s="87">
        <f t="shared" si="26"/>
        <v>0</v>
      </c>
      <c r="R105" s="78">
        <f>SUM(F105:Q105)</f>
        <v>0</v>
      </c>
      <c r="S105" s="78">
        <f>E105-R105</f>
        <v>0</v>
      </c>
      <c r="T105" s="166"/>
      <c r="U105" s="99"/>
    </row>
    <row r="106" spans="1:21" x14ac:dyDescent="0.35">
      <c r="A106" s="101"/>
      <c r="B106" s="124" t="str">
        <f>'3) Pre-Opening Budget'!B74</f>
        <v>Elective Teachers</v>
      </c>
      <c r="C106" s="125"/>
      <c r="D106" s="97"/>
      <c r="E106" s="115">
        <f>'3) Pre-Opening Budget'!E74</f>
        <v>0</v>
      </c>
      <c r="F106" s="87">
        <f>$E106/12</f>
        <v>0</v>
      </c>
      <c r="G106" s="87">
        <f t="shared" si="26"/>
        <v>0</v>
      </c>
      <c r="H106" s="87">
        <f t="shared" si="26"/>
        <v>0</v>
      </c>
      <c r="I106" s="87">
        <f t="shared" si="26"/>
        <v>0</v>
      </c>
      <c r="J106" s="87">
        <f t="shared" si="26"/>
        <v>0</v>
      </c>
      <c r="K106" s="87">
        <f t="shared" si="26"/>
        <v>0</v>
      </c>
      <c r="L106" s="87">
        <f t="shared" si="26"/>
        <v>0</v>
      </c>
      <c r="M106" s="87">
        <f t="shared" si="26"/>
        <v>0</v>
      </c>
      <c r="N106" s="87">
        <f t="shared" si="26"/>
        <v>0</v>
      </c>
      <c r="O106" s="87">
        <f t="shared" si="26"/>
        <v>0</v>
      </c>
      <c r="P106" s="87">
        <f t="shared" si="26"/>
        <v>0</v>
      </c>
      <c r="Q106" s="87">
        <f t="shared" si="26"/>
        <v>0</v>
      </c>
      <c r="R106" s="78">
        <f>SUM(F106:Q106)</f>
        <v>0</v>
      </c>
      <c r="S106" s="78">
        <f>E106-R106</f>
        <v>0</v>
      </c>
      <c r="T106" s="166"/>
      <c r="U106" s="99"/>
    </row>
    <row r="107" spans="1:21" x14ac:dyDescent="0.35">
      <c r="A107" s="101"/>
      <c r="B107" s="124" t="str">
        <f>'3) Pre-Opening Budget'!B75</f>
        <v>Other (Specify in Assumptions)</v>
      </c>
      <c r="C107" s="125"/>
      <c r="D107" s="97"/>
      <c r="E107" s="115">
        <f>'3) Pre-Opening Budget'!E75</f>
        <v>0</v>
      </c>
      <c r="F107" s="87">
        <f>$E107/12</f>
        <v>0</v>
      </c>
      <c r="G107" s="87">
        <f t="shared" si="26"/>
        <v>0</v>
      </c>
      <c r="H107" s="87">
        <f t="shared" si="26"/>
        <v>0</v>
      </c>
      <c r="I107" s="87">
        <f t="shared" si="26"/>
        <v>0</v>
      </c>
      <c r="J107" s="87">
        <f t="shared" si="26"/>
        <v>0</v>
      </c>
      <c r="K107" s="87">
        <f t="shared" si="26"/>
        <v>0</v>
      </c>
      <c r="L107" s="87">
        <f t="shared" si="26"/>
        <v>0</v>
      </c>
      <c r="M107" s="87">
        <f t="shared" si="26"/>
        <v>0</v>
      </c>
      <c r="N107" s="87">
        <f t="shared" si="26"/>
        <v>0</v>
      </c>
      <c r="O107" s="87">
        <f t="shared" si="26"/>
        <v>0</v>
      </c>
      <c r="P107" s="87">
        <f t="shared" si="26"/>
        <v>0</v>
      </c>
      <c r="Q107" s="87">
        <f t="shared" si="26"/>
        <v>0</v>
      </c>
      <c r="R107" s="78">
        <f>SUM(F107:Q107)</f>
        <v>0</v>
      </c>
      <c r="S107" s="78">
        <f>E107-R107</f>
        <v>0</v>
      </c>
      <c r="T107" s="166"/>
      <c r="U107" s="99"/>
    </row>
    <row r="108" spans="1:21" x14ac:dyDescent="0.35">
      <c r="A108" s="101"/>
      <c r="B108" s="124" t="str">
        <f>'3) Pre-Opening Budget'!B76</f>
        <v>Total Instructional Compensation</v>
      </c>
      <c r="C108" s="126"/>
      <c r="D108" s="127"/>
      <c r="E108" s="115">
        <f>'3) Pre-Opening Budget'!E76</f>
        <v>0</v>
      </c>
      <c r="F108" s="135">
        <f t="shared" ref="F108:S108" si="27">SUM(F103:F107)</f>
        <v>0</v>
      </c>
      <c r="G108" s="135">
        <f t="shared" si="27"/>
        <v>0</v>
      </c>
      <c r="H108" s="135">
        <f t="shared" si="27"/>
        <v>0</v>
      </c>
      <c r="I108" s="135">
        <f t="shared" si="27"/>
        <v>0</v>
      </c>
      <c r="J108" s="135">
        <f t="shared" si="27"/>
        <v>0</v>
      </c>
      <c r="K108" s="135">
        <f t="shared" si="27"/>
        <v>0</v>
      </c>
      <c r="L108" s="135">
        <f t="shared" si="27"/>
        <v>0</v>
      </c>
      <c r="M108" s="135">
        <f t="shared" si="27"/>
        <v>0</v>
      </c>
      <c r="N108" s="135">
        <f t="shared" si="27"/>
        <v>0</v>
      </c>
      <c r="O108" s="135">
        <f t="shared" si="27"/>
        <v>0</v>
      </c>
      <c r="P108" s="135">
        <f t="shared" si="27"/>
        <v>0</v>
      </c>
      <c r="Q108" s="135">
        <f t="shared" si="27"/>
        <v>0</v>
      </c>
      <c r="R108" s="135">
        <f t="shared" si="27"/>
        <v>0</v>
      </c>
      <c r="S108" s="135">
        <f t="shared" si="27"/>
        <v>0</v>
      </c>
      <c r="T108" s="176"/>
      <c r="U108" s="99"/>
    </row>
    <row r="109" spans="1:21" x14ac:dyDescent="0.35">
      <c r="A109" s="101"/>
      <c r="B109" s="124"/>
      <c r="C109" s="125"/>
      <c r="D109" s="108"/>
      <c r="E109" s="110"/>
      <c r="F109" s="136"/>
      <c r="G109" s="136"/>
      <c r="H109" s="136"/>
      <c r="I109" s="136"/>
      <c r="J109" s="136"/>
      <c r="K109" s="136"/>
      <c r="L109" s="136"/>
      <c r="M109" s="136"/>
      <c r="N109" s="136"/>
      <c r="O109" s="136"/>
      <c r="P109" s="136"/>
      <c r="Q109" s="136"/>
      <c r="R109" s="110"/>
      <c r="S109" s="110"/>
      <c r="T109" s="177"/>
      <c r="U109" s="99"/>
    </row>
    <row r="110" spans="1:21" x14ac:dyDescent="0.35">
      <c r="A110" s="101"/>
      <c r="B110" s="124" t="str">
        <f>'3) Pre-Opening Budget'!B78</f>
        <v>Non-Instructional Staff</v>
      </c>
      <c r="C110" s="125"/>
      <c r="D110" s="128"/>
      <c r="E110" s="128"/>
      <c r="F110" s="137"/>
      <c r="G110" s="137"/>
      <c r="H110" s="137"/>
      <c r="I110" s="137"/>
      <c r="J110" s="137"/>
      <c r="K110" s="137"/>
      <c r="L110" s="137"/>
      <c r="M110" s="137"/>
      <c r="N110" s="137"/>
      <c r="O110" s="137"/>
      <c r="P110" s="137"/>
      <c r="Q110" s="137"/>
      <c r="R110" s="128"/>
      <c r="S110" s="128"/>
      <c r="T110" s="178"/>
      <c r="U110" s="99"/>
    </row>
    <row r="111" spans="1:21" x14ac:dyDescent="0.35">
      <c r="A111" s="101"/>
      <c r="B111" s="124" t="str">
        <f>'3) Pre-Opening Budget'!B79</f>
        <v>Clerical Staff</v>
      </c>
      <c r="C111" s="125"/>
      <c r="D111" s="61"/>
      <c r="E111" s="115">
        <f>'3) Pre-Opening Budget'!E79</f>
        <v>0</v>
      </c>
      <c r="F111" s="87">
        <f t="shared" ref="F111:L115" si="28">$E111/6</f>
        <v>0</v>
      </c>
      <c r="G111" s="87">
        <f t="shared" si="28"/>
        <v>0</v>
      </c>
      <c r="H111" s="87">
        <f t="shared" si="28"/>
        <v>0</v>
      </c>
      <c r="I111" s="87">
        <f t="shared" si="28"/>
        <v>0</v>
      </c>
      <c r="J111" s="87">
        <f t="shared" si="28"/>
        <v>0</v>
      </c>
      <c r="K111" s="87">
        <f t="shared" si="28"/>
        <v>0</v>
      </c>
      <c r="L111" s="87">
        <f>$E111/6</f>
        <v>0</v>
      </c>
      <c r="M111" s="87">
        <f t="shared" ref="M111:Q115" si="29">$E111/6</f>
        <v>0</v>
      </c>
      <c r="N111" s="87">
        <f t="shared" si="29"/>
        <v>0</v>
      </c>
      <c r="O111" s="87">
        <f t="shared" si="29"/>
        <v>0</v>
      </c>
      <c r="P111" s="87">
        <f t="shared" si="29"/>
        <v>0</v>
      </c>
      <c r="Q111" s="87">
        <f t="shared" si="29"/>
        <v>0</v>
      </c>
      <c r="R111" s="78">
        <f>SUM(F111:Q111)</f>
        <v>0</v>
      </c>
      <c r="S111" s="78">
        <f>E111-R111</f>
        <v>0</v>
      </c>
      <c r="T111" s="166"/>
      <c r="U111" s="99"/>
    </row>
    <row r="112" spans="1:21" x14ac:dyDescent="0.35">
      <c r="A112" s="101"/>
      <c r="B112" s="124" t="str">
        <f>'3) Pre-Opening Budget'!B80</f>
        <v>Custodial Staff</v>
      </c>
      <c r="C112" s="125"/>
      <c r="D112" s="61"/>
      <c r="E112" s="115">
        <f>'3) Pre-Opening Budget'!E80</f>
        <v>0</v>
      </c>
      <c r="F112" s="87">
        <f t="shared" si="28"/>
        <v>0</v>
      </c>
      <c r="G112" s="87">
        <f t="shared" si="28"/>
        <v>0</v>
      </c>
      <c r="H112" s="87">
        <f t="shared" si="28"/>
        <v>0</v>
      </c>
      <c r="I112" s="87">
        <f t="shared" si="28"/>
        <v>0</v>
      </c>
      <c r="J112" s="87">
        <f t="shared" si="28"/>
        <v>0</v>
      </c>
      <c r="K112" s="87">
        <f t="shared" si="28"/>
        <v>0</v>
      </c>
      <c r="L112" s="87">
        <f t="shared" si="28"/>
        <v>0</v>
      </c>
      <c r="M112" s="87">
        <f t="shared" si="29"/>
        <v>0</v>
      </c>
      <c r="N112" s="87">
        <f t="shared" si="29"/>
        <v>0</v>
      </c>
      <c r="O112" s="87">
        <f t="shared" si="29"/>
        <v>0</v>
      </c>
      <c r="P112" s="87">
        <f t="shared" si="29"/>
        <v>0</v>
      </c>
      <c r="Q112" s="87">
        <f t="shared" si="29"/>
        <v>0</v>
      </c>
      <c r="R112" s="78">
        <f>SUM(F112:Q112)</f>
        <v>0</v>
      </c>
      <c r="S112" s="78">
        <f>E112-R112</f>
        <v>0</v>
      </c>
      <c r="T112" s="166"/>
      <c r="U112" s="99"/>
    </row>
    <row r="113" spans="1:21" x14ac:dyDescent="0.35">
      <c r="A113" s="101"/>
      <c r="B113" s="124" t="str">
        <f>'3) Pre-Opening Budget'!B81</f>
        <v>Operations</v>
      </c>
      <c r="C113" s="125"/>
      <c r="D113" s="61"/>
      <c r="E113" s="115">
        <f>'3) Pre-Opening Budget'!E81</f>
        <v>0</v>
      </c>
      <c r="F113" s="87">
        <f t="shared" si="28"/>
        <v>0</v>
      </c>
      <c r="G113" s="87">
        <f t="shared" si="28"/>
        <v>0</v>
      </c>
      <c r="H113" s="87">
        <f t="shared" si="28"/>
        <v>0</v>
      </c>
      <c r="I113" s="87">
        <f t="shared" si="28"/>
        <v>0</v>
      </c>
      <c r="J113" s="87">
        <f t="shared" si="28"/>
        <v>0</v>
      </c>
      <c r="K113" s="87">
        <f t="shared" si="28"/>
        <v>0</v>
      </c>
      <c r="L113" s="87">
        <f t="shared" si="28"/>
        <v>0</v>
      </c>
      <c r="M113" s="87">
        <f t="shared" si="29"/>
        <v>0</v>
      </c>
      <c r="N113" s="87">
        <f t="shared" si="29"/>
        <v>0</v>
      </c>
      <c r="O113" s="87">
        <f t="shared" si="29"/>
        <v>0</v>
      </c>
      <c r="P113" s="87">
        <f t="shared" si="29"/>
        <v>0</v>
      </c>
      <c r="Q113" s="87">
        <f t="shared" si="29"/>
        <v>0</v>
      </c>
      <c r="R113" s="78">
        <f>SUM(F113:Q113)</f>
        <v>0</v>
      </c>
      <c r="S113" s="78">
        <f>E113-R113</f>
        <v>0</v>
      </c>
      <c r="T113" s="166"/>
      <c r="U113" s="99"/>
    </row>
    <row r="114" spans="1:21" x14ac:dyDescent="0.35">
      <c r="A114" s="101"/>
      <c r="B114" s="124" t="str">
        <f>'3) Pre-Opening Budget'!B82</f>
        <v>Social Workers/Counseling</v>
      </c>
      <c r="C114" s="125"/>
      <c r="D114" s="61"/>
      <c r="E114" s="115">
        <f>'3) Pre-Opening Budget'!E82</f>
        <v>0</v>
      </c>
      <c r="F114" s="87">
        <f t="shared" si="28"/>
        <v>0</v>
      </c>
      <c r="G114" s="87">
        <f t="shared" si="28"/>
        <v>0</v>
      </c>
      <c r="H114" s="87">
        <f t="shared" si="28"/>
        <v>0</v>
      </c>
      <c r="I114" s="87">
        <f t="shared" si="28"/>
        <v>0</v>
      </c>
      <c r="J114" s="87">
        <f t="shared" si="28"/>
        <v>0</v>
      </c>
      <c r="K114" s="87">
        <f t="shared" si="28"/>
        <v>0</v>
      </c>
      <c r="L114" s="87">
        <f t="shared" si="28"/>
        <v>0</v>
      </c>
      <c r="M114" s="87">
        <f t="shared" si="29"/>
        <v>0</v>
      </c>
      <c r="N114" s="87">
        <f t="shared" si="29"/>
        <v>0</v>
      </c>
      <c r="O114" s="87">
        <f t="shared" si="29"/>
        <v>0</v>
      </c>
      <c r="P114" s="87">
        <f t="shared" si="29"/>
        <v>0</v>
      </c>
      <c r="Q114" s="87">
        <f t="shared" si="29"/>
        <v>0</v>
      </c>
      <c r="R114" s="78">
        <f>SUM(F114:Q114)</f>
        <v>0</v>
      </c>
      <c r="S114" s="78">
        <f>E114-R114</f>
        <v>0</v>
      </c>
      <c r="T114" s="166"/>
      <c r="U114" s="99"/>
    </row>
    <row r="115" spans="1:21" x14ac:dyDescent="0.35">
      <c r="A115" s="101"/>
      <c r="B115" s="124" t="str">
        <f>'3) Pre-Opening Budget'!B83</f>
        <v>Other (Specify in Assumptions)</v>
      </c>
      <c r="C115" s="125"/>
      <c r="D115" s="61"/>
      <c r="E115" s="115">
        <f>'3) Pre-Opening Budget'!E83</f>
        <v>0</v>
      </c>
      <c r="F115" s="87">
        <f t="shared" si="28"/>
        <v>0</v>
      </c>
      <c r="G115" s="87">
        <f t="shared" si="28"/>
        <v>0</v>
      </c>
      <c r="H115" s="87">
        <f t="shared" si="28"/>
        <v>0</v>
      </c>
      <c r="I115" s="87">
        <f t="shared" si="28"/>
        <v>0</v>
      </c>
      <c r="J115" s="87">
        <f t="shared" si="28"/>
        <v>0</v>
      </c>
      <c r="K115" s="87">
        <f t="shared" si="28"/>
        <v>0</v>
      </c>
      <c r="L115" s="87">
        <f t="shared" si="28"/>
        <v>0</v>
      </c>
      <c r="M115" s="87">
        <f t="shared" si="29"/>
        <v>0</v>
      </c>
      <c r="N115" s="87">
        <f t="shared" si="29"/>
        <v>0</v>
      </c>
      <c r="O115" s="87">
        <f t="shared" si="29"/>
        <v>0</v>
      </c>
      <c r="P115" s="87">
        <f t="shared" si="29"/>
        <v>0</v>
      </c>
      <c r="Q115" s="87">
        <f t="shared" si="29"/>
        <v>0</v>
      </c>
      <c r="R115" s="78">
        <f>SUM(F115:Q115)</f>
        <v>0</v>
      </c>
      <c r="S115" s="78">
        <f>E115-R115</f>
        <v>0</v>
      </c>
      <c r="T115" s="166"/>
      <c r="U115" s="99"/>
    </row>
    <row r="116" spans="1:21" x14ac:dyDescent="0.35">
      <c r="A116" s="101"/>
      <c r="B116" s="123" t="str">
        <f>'5) Year 1-5 Staff Assumptions'!B72</f>
        <v>Total Non-Instructional  Compensation</v>
      </c>
      <c r="C116" s="126"/>
      <c r="D116" s="58"/>
      <c r="E116" s="115">
        <f>'3) Pre-Opening Budget'!E84</f>
        <v>0</v>
      </c>
      <c r="F116" s="135">
        <f t="shared" ref="F116:S116" si="30">SUM(F111:F115)</f>
        <v>0</v>
      </c>
      <c r="G116" s="135">
        <f t="shared" si="30"/>
        <v>0</v>
      </c>
      <c r="H116" s="135">
        <f t="shared" si="30"/>
        <v>0</v>
      </c>
      <c r="I116" s="135">
        <f t="shared" si="30"/>
        <v>0</v>
      </c>
      <c r="J116" s="135">
        <f t="shared" si="30"/>
        <v>0</v>
      </c>
      <c r="K116" s="135">
        <f t="shared" si="30"/>
        <v>0</v>
      </c>
      <c r="L116" s="135">
        <f t="shared" si="30"/>
        <v>0</v>
      </c>
      <c r="M116" s="135">
        <f t="shared" si="30"/>
        <v>0</v>
      </c>
      <c r="N116" s="135">
        <f t="shared" si="30"/>
        <v>0</v>
      </c>
      <c r="O116" s="135">
        <f t="shared" si="30"/>
        <v>0</v>
      </c>
      <c r="P116" s="135">
        <f t="shared" si="30"/>
        <v>0</v>
      </c>
      <c r="Q116" s="135">
        <f t="shared" si="30"/>
        <v>0</v>
      </c>
      <c r="R116" s="135">
        <f t="shared" si="30"/>
        <v>0</v>
      </c>
      <c r="S116" s="135">
        <f t="shared" si="30"/>
        <v>0</v>
      </c>
      <c r="T116" s="176"/>
      <c r="U116" s="99"/>
    </row>
    <row r="117" spans="1:21" x14ac:dyDescent="0.35">
      <c r="A117" s="101"/>
      <c r="B117" s="124"/>
      <c r="C117" s="105"/>
      <c r="D117" s="61"/>
      <c r="E117" s="110"/>
      <c r="F117" s="136"/>
      <c r="G117" s="136"/>
      <c r="H117" s="136"/>
      <c r="I117" s="136"/>
      <c r="J117" s="136"/>
      <c r="K117" s="136"/>
      <c r="L117" s="136"/>
      <c r="M117" s="136"/>
      <c r="N117" s="136"/>
      <c r="O117" s="136"/>
      <c r="P117" s="136"/>
      <c r="Q117" s="136"/>
      <c r="R117" s="110"/>
      <c r="S117" s="110"/>
      <c r="T117" s="177"/>
      <c r="U117" s="99"/>
    </row>
    <row r="118" spans="1:21" x14ac:dyDescent="0.35">
      <c r="A118" s="101"/>
      <c r="B118" s="124" t="str">
        <f>'3) Pre-Opening Budget'!B86</f>
        <v>Bonus</v>
      </c>
      <c r="C118" s="105"/>
      <c r="D118" s="61"/>
      <c r="E118" s="115">
        <f>'3) Pre-Opening Budget'!E86</f>
        <v>0</v>
      </c>
      <c r="F118" s="87">
        <f>$E118/12</f>
        <v>0</v>
      </c>
      <c r="G118" s="87">
        <f t="shared" ref="G118:Q121" si="31">$E118/12</f>
        <v>0</v>
      </c>
      <c r="H118" s="87">
        <f t="shared" si="31"/>
        <v>0</v>
      </c>
      <c r="I118" s="87">
        <f t="shared" si="31"/>
        <v>0</v>
      </c>
      <c r="J118" s="87">
        <f t="shared" si="31"/>
        <v>0</v>
      </c>
      <c r="K118" s="87">
        <f t="shared" si="31"/>
        <v>0</v>
      </c>
      <c r="L118" s="87">
        <f t="shared" si="31"/>
        <v>0</v>
      </c>
      <c r="M118" s="87">
        <f t="shared" si="31"/>
        <v>0</v>
      </c>
      <c r="N118" s="87">
        <f t="shared" si="31"/>
        <v>0</v>
      </c>
      <c r="O118" s="87">
        <f t="shared" si="31"/>
        <v>0</v>
      </c>
      <c r="P118" s="87">
        <f t="shared" si="31"/>
        <v>0</v>
      </c>
      <c r="Q118" s="87">
        <f t="shared" si="31"/>
        <v>0</v>
      </c>
      <c r="R118" s="78">
        <f>SUM(F118:Q118)</f>
        <v>0</v>
      </c>
      <c r="S118" s="78">
        <f>E118-R118</f>
        <v>0</v>
      </c>
      <c r="T118" s="166"/>
      <c r="U118" s="99"/>
    </row>
    <row r="119" spans="1:21" x14ac:dyDescent="0.35">
      <c r="A119" s="101"/>
      <c r="B119" s="124" t="str">
        <f>'3) Pre-Opening Budget'!B87</f>
        <v>Other Non FTE Compensation</v>
      </c>
      <c r="C119" s="105"/>
      <c r="D119" s="61"/>
      <c r="E119" s="115">
        <f>'3) Pre-Opening Budget'!E87</f>
        <v>0</v>
      </c>
      <c r="F119" s="87">
        <f>$E119/12</f>
        <v>0</v>
      </c>
      <c r="G119" s="87">
        <f t="shared" si="31"/>
        <v>0</v>
      </c>
      <c r="H119" s="87">
        <f t="shared" si="31"/>
        <v>0</v>
      </c>
      <c r="I119" s="87">
        <f t="shared" si="31"/>
        <v>0</v>
      </c>
      <c r="J119" s="87">
        <f t="shared" si="31"/>
        <v>0</v>
      </c>
      <c r="K119" s="87">
        <f t="shared" si="31"/>
        <v>0</v>
      </c>
      <c r="L119" s="87">
        <f t="shared" si="31"/>
        <v>0</v>
      </c>
      <c r="M119" s="87">
        <f t="shared" si="31"/>
        <v>0</v>
      </c>
      <c r="N119" s="87">
        <f t="shared" si="31"/>
        <v>0</v>
      </c>
      <c r="O119" s="87">
        <f t="shared" si="31"/>
        <v>0</v>
      </c>
      <c r="P119" s="87">
        <f t="shared" si="31"/>
        <v>0</v>
      </c>
      <c r="Q119" s="87">
        <f t="shared" si="31"/>
        <v>0</v>
      </c>
      <c r="R119" s="78">
        <f>SUM(F119:Q119)</f>
        <v>0</v>
      </c>
      <c r="S119" s="78">
        <f>E119-R119</f>
        <v>0</v>
      </c>
      <c r="T119" s="166"/>
      <c r="U119" s="99"/>
    </row>
    <row r="120" spans="1:21" x14ac:dyDescent="0.35">
      <c r="A120" s="101"/>
      <c r="B120" s="124" t="str">
        <f>'3) Pre-Opening Budget'!B88</f>
        <v>Other Non FTE Compensation</v>
      </c>
      <c r="C120" s="105"/>
      <c r="D120" s="61"/>
      <c r="E120" s="115">
        <f>'3) Pre-Opening Budget'!E88</f>
        <v>0</v>
      </c>
      <c r="F120" s="87">
        <f>$E120/12</f>
        <v>0</v>
      </c>
      <c r="G120" s="87">
        <f t="shared" si="31"/>
        <v>0</v>
      </c>
      <c r="H120" s="87">
        <f t="shared" si="31"/>
        <v>0</v>
      </c>
      <c r="I120" s="87">
        <f t="shared" si="31"/>
        <v>0</v>
      </c>
      <c r="J120" s="87">
        <f t="shared" si="31"/>
        <v>0</v>
      </c>
      <c r="K120" s="87">
        <f t="shared" si="31"/>
        <v>0</v>
      </c>
      <c r="L120" s="87">
        <f t="shared" si="31"/>
        <v>0</v>
      </c>
      <c r="M120" s="87">
        <f t="shared" si="31"/>
        <v>0</v>
      </c>
      <c r="N120" s="87">
        <f t="shared" si="31"/>
        <v>0</v>
      </c>
      <c r="O120" s="87">
        <f t="shared" si="31"/>
        <v>0</v>
      </c>
      <c r="P120" s="87">
        <f t="shared" si="31"/>
        <v>0</v>
      </c>
      <c r="Q120" s="87">
        <f t="shared" si="31"/>
        <v>0</v>
      </c>
      <c r="R120" s="78">
        <f>SUM(F120:Q120)</f>
        <v>0</v>
      </c>
      <c r="S120" s="78">
        <f>E120-R120</f>
        <v>0</v>
      </c>
      <c r="T120" s="166"/>
      <c r="U120" s="99"/>
    </row>
    <row r="121" spans="1:21" x14ac:dyDescent="0.35">
      <c r="A121" s="101"/>
      <c r="B121" s="124" t="str">
        <f>'3) Pre-Opening Budget'!B89</f>
        <v>Other Non FTE Compensation</v>
      </c>
      <c r="C121" s="105"/>
      <c r="D121" s="61"/>
      <c r="E121" s="115">
        <f>'3) Pre-Opening Budget'!E89</f>
        <v>0</v>
      </c>
      <c r="F121" s="87">
        <f>$E121/12</f>
        <v>0</v>
      </c>
      <c r="G121" s="87">
        <f t="shared" si="31"/>
        <v>0</v>
      </c>
      <c r="H121" s="87">
        <f t="shared" si="31"/>
        <v>0</v>
      </c>
      <c r="I121" s="87">
        <f t="shared" si="31"/>
        <v>0</v>
      </c>
      <c r="J121" s="87">
        <f t="shared" si="31"/>
        <v>0</v>
      </c>
      <c r="K121" s="87">
        <f t="shared" si="31"/>
        <v>0</v>
      </c>
      <c r="L121" s="87">
        <f t="shared" si="31"/>
        <v>0</v>
      </c>
      <c r="M121" s="87">
        <f t="shared" si="31"/>
        <v>0</v>
      </c>
      <c r="N121" s="87">
        <f t="shared" si="31"/>
        <v>0</v>
      </c>
      <c r="O121" s="87">
        <f t="shared" si="31"/>
        <v>0</v>
      </c>
      <c r="P121" s="87">
        <f t="shared" si="31"/>
        <v>0</v>
      </c>
      <c r="Q121" s="87">
        <f t="shared" si="31"/>
        <v>0</v>
      </c>
      <c r="R121" s="78">
        <f>SUM(F121:Q121)</f>
        <v>0</v>
      </c>
      <c r="S121" s="78">
        <f>E121-R121</f>
        <v>0</v>
      </c>
      <c r="T121" s="166"/>
      <c r="U121" s="99"/>
    </row>
    <row r="122" spans="1:21" x14ac:dyDescent="0.35">
      <c r="A122" s="101"/>
      <c r="B122" s="124"/>
      <c r="C122" s="105"/>
      <c r="D122" s="61"/>
      <c r="E122" s="110"/>
      <c r="F122" s="110"/>
      <c r="G122" s="110"/>
      <c r="H122" s="110"/>
      <c r="I122" s="110"/>
      <c r="J122" s="110"/>
      <c r="K122" s="110"/>
      <c r="L122" s="110"/>
      <c r="M122" s="110"/>
      <c r="N122" s="110"/>
      <c r="O122" s="110"/>
      <c r="P122" s="110"/>
      <c r="Q122" s="110"/>
      <c r="R122" s="110"/>
      <c r="S122" s="110"/>
      <c r="T122" s="177"/>
      <c r="U122" s="99"/>
    </row>
    <row r="123" spans="1:21" ht="15" thickBot="1" x14ac:dyDescent="0.4">
      <c r="A123" s="101"/>
      <c r="B123" s="123" t="str">
        <f>'5) Year 1-5 Staff Assumptions'!B79</f>
        <v>Total Compensation</v>
      </c>
      <c r="C123" s="58"/>
      <c r="D123" s="58"/>
      <c r="E123" s="71">
        <f>'3) Pre-Opening Budget'!E92</f>
        <v>108850</v>
      </c>
      <c r="F123" s="71">
        <f>F100+F108+F116+SUM(F118:F121)</f>
        <v>0</v>
      </c>
      <c r="G123" s="71">
        <f t="shared" ref="G123:S123" si="32">G100+G108+G116+SUM(G118:G121)</f>
        <v>0</v>
      </c>
      <c r="H123" s="71">
        <f t="shared" si="32"/>
        <v>7885</v>
      </c>
      <c r="I123" s="71">
        <f t="shared" si="32"/>
        <v>7885</v>
      </c>
      <c r="J123" s="71">
        <f t="shared" si="32"/>
        <v>7885</v>
      </c>
      <c r="K123" s="71">
        <f t="shared" si="32"/>
        <v>7885</v>
      </c>
      <c r="L123" s="71">
        <f t="shared" si="32"/>
        <v>12885</v>
      </c>
      <c r="M123" s="71">
        <f t="shared" si="32"/>
        <v>12885</v>
      </c>
      <c r="N123" s="71">
        <f t="shared" si="32"/>
        <v>12885</v>
      </c>
      <c r="O123" s="71">
        <f t="shared" si="32"/>
        <v>12885</v>
      </c>
      <c r="P123" s="71">
        <f t="shared" si="32"/>
        <v>12885</v>
      </c>
      <c r="Q123" s="71">
        <f t="shared" si="32"/>
        <v>12885</v>
      </c>
      <c r="R123" s="71">
        <f t="shared" si="32"/>
        <v>108850</v>
      </c>
      <c r="S123" s="71">
        <f t="shared" si="32"/>
        <v>0</v>
      </c>
      <c r="T123" s="72"/>
      <c r="U123" s="99"/>
    </row>
    <row r="124" spans="1:21" ht="15" thickTop="1" x14ac:dyDescent="0.35">
      <c r="A124" s="101"/>
      <c r="B124" s="47"/>
      <c r="C124" s="61"/>
      <c r="D124" s="61"/>
      <c r="E124" s="122"/>
      <c r="F124" s="122"/>
      <c r="G124" s="122"/>
      <c r="H124" s="122"/>
      <c r="I124" s="122"/>
      <c r="J124" s="122"/>
      <c r="K124" s="122"/>
      <c r="L124" s="122"/>
      <c r="M124" s="122"/>
      <c r="N124" s="122"/>
      <c r="O124" s="122"/>
      <c r="P124" s="122"/>
      <c r="Q124" s="122"/>
      <c r="R124" s="122"/>
      <c r="S124" s="122"/>
      <c r="T124" s="122"/>
      <c r="U124" s="99"/>
    </row>
    <row r="125" spans="1:21" x14ac:dyDescent="0.35">
      <c r="A125" s="101"/>
      <c r="B125" s="47"/>
      <c r="C125" s="61"/>
      <c r="D125" s="61"/>
      <c r="E125" s="122"/>
      <c r="F125" s="122"/>
      <c r="G125" s="122"/>
      <c r="H125" s="122"/>
      <c r="I125" s="122"/>
      <c r="J125" s="122"/>
      <c r="K125" s="122"/>
      <c r="L125" s="122"/>
      <c r="M125" s="122"/>
      <c r="N125" s="122"/>
      <c r="O125" s="122"/>
      <c r="P125" s="122"/>
      <c r="Q125" s="122"/>
      <c r="R125" s="122"/>
      <c r="S125" s="122"/>
      <c r="T125" s="122"/>
      <c r="U125" s="99"/>
    </row>
    <row r="126" spans="1:21" ht="14.65" customHeight="1" x14ac:dyDescent="0.35">
      <c r="A126" s="101"/>
      <c r="B126" s="119"/>
      <c r="C126" s="97"/>
      <c r="D126" s="97"/>
      <c r="E126" s="319" t="s">
        <v>158</v>
      </c>
      <c r="F126" s="319"/>
      <c r="G126" s="319"/>
      <c r="H126" s="319"/>
      <c r="I126" s="319"/>
      <c r="J126" s="319"/>
      <c r="K126" s="319"/>
      <c r="L126" s="319"/>
      <c r="M126" s="319"/>
      <c r="N126" s="319"/>
      <c r="O126" s="319"/>
      <c r="P126" s="319"/>
      <c r="Q126" s="319"/>
      <c r="R126" s="319"/>
      <c r="S126" s="319"/>
      <c r="T126" s="122"/>
      <c r="U126" s="99"/>
    </row>
    <row r="127" spans="1:21" ht="14.65" customHeight="1" x14ac:dyDescent="0.35">
      <c r="A127" s="101"/>
      <c r="B127" s="119"/>
      <c r="C127" s="97"/>
      <c r="D127" s="97"/>
      <c r="E127" s="97"/>
      <c r="F127" s="97"/>
      <c r="G127" s="97"/>
      <c r="H127" s="97"/>
      <c r="I127" s="97"/>
      <c r="J127" s="97"/>
      <c r="K127" s="97"/>
      <c r="L127" s="97"/>
      <c r="M127" s="97"/>
      <c r="N127" s="97"/>
      <c r="O127" s="97"/>
      <c r="P127" s="97"/>
      <c r="Q127" s="97"/>
      <c r="R127" s="97"/>
      <c r="S127" s="97"/>
      <c r="T127" s="122"/>
      <c r="U127" s="99"/>
    </row>
    <row r="128" spans="1:21" x14ac:dyDescent="0.35">
      <c r="A128" s="101"/>
      <c r="B128" s="119"/>
      <c r="C128" s="97"/>
      <c r="D128" s="97"/>
      <c r="E128" s="120" t="str">
        <f>E90</f>
        <v>Year 0</v>
      </c>
      <c r="F128" s="120" t="str">
        <f t="shared" ref="F128:S128" si="33">F90</f>
        <v>Year 0</v>
      </c>
      <c r="G128" s="120" t="str">
        <f t="shared" si="33"/>
        <v>Year 0</v>
      </c>
      <c r="H128" s="120" t="str">
        <f t="shared" si="33"/>
        <v>Year 0</v>
      </c>
      <c r="I128" s="120" t="str">
        <f t="shared" si="33"/>
        <v>Year 0</v>
      </c>
      <c r="J128" s="120" t="str">
        <f t="shared" si="33"/>
        <v>Year 0</v>
      </c>
      <c r="K128" s="120" t="str">
        <f t="shared" si="33"/>
        <v>Year 0</v>
      </c>
      <c r="L128" s="120" t="str">
        <f t="shared" si="33"/>
        <v>Year 0</v>
      </c>
      <c r="M128" s="120" t="str">
        <f t="shared" si="33"/>
        <v>Year 0</v>
      </c>
      <c r="N128" s="120" t="str">
        <f t="shared" si="33"/>
        <v>Year 0</v>
      </c>
      <c r="O128" s="120" t="str">
        <f t="shared" si="33"/>
        <v>Year 0</v>
      </c>
      <c r="P128" s="120" t="str">
        <f t="shared" si="33"/>
        <v>Year 0</v>
      </c>
      <c r="Q128" s="120" t="str">
        <f t="shared" si="33"/>
        <v>Year 0</v>
      </c>
      <c r="R128" s="120" t="str">
        <f t="shared" si="33"/>
        <v>Year 0</v>
      </c>
      <c r="S128" s="120" t="str">
        <f t="shared" si="33"/>
        <v>Year 0</v>
      </c>
      <c r="T128" s="103"/>
      <c r="U128" s="99"/>
    </row>
    <row r="129" spans="1:21" x14ac:dyDescent="0.35">
      <c r="A129" s="105"/>
      <c r="B129" s="47"/>
      <c r="C129" s="58"/>
      <c r="D129" s="2"/>
      <c r="E129" s="129" t="str">
        <f t="shared" ref="E129:S130" si="34">E91</f>
        <v>2020-21</v>
      </c>
      <c r="F129" s="129" t="str">
        <f t="shared" si="34"/>
        <v>2020-21</v>
      </c>
      <c r="G129" s="129" t="str">
        <f t="shared" si="34"/>
        <v>2020-21</v>
      </c>
      <c r="H129" s="129" t="str">
        <f t="shared" si="34"/>
        <v>2020-21</v>
      </c>
      <c r="I129" s="129" t="str">
        <f t="shared" si="34"/>
        <v>2020-21</v>
      </c>
      <c r="J129" s="129" t="str">
        <f t="shared" si="34"/>
        <v>2020-21</v>
      </c>
      <c r="K129" s="129" t="str">
        <f t="shared" si="34"/>
        <v>2020-21</v>
      </c>
      <c r="L129" s="129" t="str">
        <f t="shared" si="34"/>
        <v>2020-21</v>
      </c>
      <c r="M129" s="129" t="str">
        <f t="shared" si="34"/>
        <v>2020-21</v>
      </c>
      <c r="N129" s="129" t="str">
        <f t="shared" si="34"/>
        <v>2020-21</v>
      </c>
      <c r="O129" s="129" t="str">
        <f t="shared" si="34"/>
        <v>2020-21</v>
      </c>
      <c r="P129" s="129" t="str">
        <f t="shared" si="34"/>
        <v>2020-21</v>
      </c>
      <c r="Q129" s="129" t="str">
        <f t="shared" si="34"/>
        <v>2020-21</v>
      </c>
      <c r="R129" s="129" t="str">
        <f t="shared" si="34"/>
        <v>2020-21</v>
      </c>
      <c r="S129" s="129" t="str">
        <f t="shared" si="34"/>
        <v>2020-21</v>
      </c>
      <c r="T129" s="122"/>
      <c r="U129" s="99"/>
    </row>
    <row r="130" spans="1:21" x14ac:dyDescent="0.35">
      <c r="A130" s="105"/>
      <c r="B130" s="47"/>
      <c r="C130" s="58"/>
      <c r="D130" s="2"/>
      <c r="E130" s="129" t="str">
        <f t="shared" si="34"/>
        <v>Total Budget</v>
      </c>
      <c r="F130" s="129" t="str">
        <f t="shared" si="34"/>
        <v>July</v>
      </c>
      <c r="G130" s="129" t="str">
        <f t="shared" si="34"/>
        <v>August</v>
      </c>
      <c r="H130" s="129" t="str">
        <f t="shared" si="34"/>
        <v>September</v>
      </c>
      <c r="I130" s="129" t="str">
        <f t="shared" si="34"/>
        <v>October</v>
      </c>
      <c r="J130" s="129" t="str">
        <f t="shared" si="34"/>
        <v>November</v>
      </c>
      <c r="K130" s="129" t="str">
        <f t="shared" si="34"/>
        <v>December</v>
      </c>
      <c r="L130" s="129" t="str">
        <f t="shared" si="34"/>
        <v>January</v>
      </c>
      <c r="M130" s="129" t="str">
        <f t="shared" si="34"/>
        <v>February</v>
      </c>
      <c r="N130" s="129" t="str">
        <f t="shared" si="34"/>
        <v>March</v>
      </c>
      <c r="O130" s="129" t="str">
        <f t="shared" si="34"/>
        <v>April</v>
      </c>
      <c r="P130" s="129" t="str">
        <f t="shared" si="34"/>
        <v>May</v>
      </c>
      <c r="Q130" s="129" t="str">
        <f t="shared" si="34"/>
        <v>June</v>
      </c>
      <c r="R130" s="129" t="str">
        <f t="shared" si="34"/>
        <v>Total</v>
      </c>
      <c r="S130" s="129" t="str">
        <f t="shared" si="34"/>
        <v>AR/AP</v>
      </c>
      <c r="T130" s="122"/>
      <c r="U130" s="99"/>
    </row>
    <row r="131" spans="1:21" x14ac:dyDescent="0.35">
      <c r="A131" s="105"/>
      <c r="B131" s="47"/>
      <c r="C131" s="58"/>
      <c r="D131" s="2"/>
      <c r="E131" s="122"/>
      <c r="F131" s="122"/>
      <c r="G131" s="122"/>
      <c r="H131" s="122"/>
      <c r="I131" s="122"/>
      <c r="J131" s="122"/>
      <c r="K131" s="122"/>
      <c r="L131" s="122"/>
      <c r="M131" s="122"/>
      <c r="N131" s="122"/>
      <c r="O131" s="122"/>
      <c r="P131" s="122"/>
      <c r="Q131" s="122"/>
      <c r="R131" s="122"/>
      <c r="S131" s="122"/>
      <c r="T131" s="63" t="s">
        <v>133</v>
      </c>
      <c r="U131" s="99"/>
    </row>
    <row r="132" spans="1:21" x14ac:dyDescent="0.35">
      <c r="A132" s="105"/>
      <c r="B132" s="47" t="str">
        <f>'3) Pre-Opening Budget'!B101</f>
        <v xml:space="preserve">Social Security </v>
      </c>
      <c r="C132" s="61"/>
      <c r="D132" s="61"/>
      <c r="E132" s="130">
        <f>'3) Pre-Opening Budget'!E101</f>
        <v>6748.7</v>
      </c>
      <c r="F132" s="87">
        <v>0</v>
      </c>
      <c r="G132" s="87">
        <v>0</v>
      </c>
      <c r="H132" s="87">
        <f t="shared" ref="H132:Q132" si="35">$E132*(H$123/$E123)</f>
        <v>488.86999999999995</v>
      </c>
      <c r="I132" s="87">
        <f t="shared" si="35"/>
        <v>488.86999999999995</v>
      </c>
      <c r="J132" s="87">
        <f t="shared" si="35"/>
        <v>488.86999999999995</v>
      </c>
      <c r="K132" s="87">
        <f t="shared" si="35"/>
        <v>488.86999999999995</v>
      </c>
      <c r="L132" s="87">
        <f t="shared" si="35"/>
        <v>798.87</v>
      </c>
      <c r="M132" s="87">
        <f t="shared" si="35"/>
        <v>798.87</v>
      </c>
      <c r="N132" s="87">
        <f t="shared" si="35"/>
        <v>798.87</v>
      </c>
      <c r="O132" s="87">
        <f t="shared" si="35"/>
        <v>798.87</v>
      </c>
      <c r="P132" s="87">
        <f t="shared" si="35"/>
        <v>798.87</v>
      </c>
      <c r="Q132" s="87">
        <f t="shared" si="35"/>
        <v>798.87</v>
      </c>
      <c r="R132" s="78">
        <f>SUM(F132:Q132)</f>
        <v>6748.7</v>
      </c>
      <c r="S132" s="78">
        <f>E132-R132</f>
        <v>0</v>
      </c>
      <c r="T132" s="165" t="s">
        <v>393</v>
      </c>
      <c r="U132" s="99"/>
    </row>
    <row r="133" spans="1:21" x14ac:dyDescent="0.35">
      <c r="A133" s="101"/>
      <c r="B133" s="47" t="str">
        <f>'3) Pre-Opening Budget'!B102</f>
        <v>Medicare</v>
      </c>
      <c r="C133" s="61"/>
      <c r="D133" s="61"/>
      <c r="E133" s="130">
        <f>'3) Pre-Opening Budget'!E102</f>
        <v>1578.325</v>
      </c>
      <c r="F133" s="87">
        <v>0</v>
      </c>
      <c r="G133" s="87">
        <v>0</v>
      </c>
      <c r="H133" s="87">
        <f t="shared" ref="H133:Q134" si="36">$E133*(H$123/$E$123)</f>
        <v>114.3325</v>
      </c>
      <c r="I133" s="87">
        <f t="shared" si="36"/>
        <v>114.3325</v>
      </c>
      <c r="J133" s="87">
        <f t="shared" si="36"/>
        <v>114.3325</v>
      </c>
      <c r="K133" s="87">
        <f t="shared" si="36"/>
        <v>114.3325</v>
      </c>
      <c r="L133" s="87">
        <f t="shared" si="36"/>
        <v>186.83250000000001</v>
      </c>
      <c r="M133" s="87">
        <f t="shared" si="36"/>
        <v>186.83250000000001</v>
      </c>
      <c r="N133" s="87">
        <f t="shared" si="36"/>
        <v>186.83250000000001</v>
      </c>
      <c r="O133" s="87">
        <f t="shared" si="36"/>
        <v>186.83250000000001</v>
      </c>
      <c r="P133" s="87">
        <f t="shared" si="36"/>
        <v>186.83250000000001</v>
      </c>
      <c r="Q133" s="87">
        <f t="shared" si="36"/>
        <v>186.83250000000001</v>
      </c>
      <c r="R133" s="78">
        <f>SUM(F133:Q133)</f>
        <v>1578.325</v>
      </c>
      <c r="S133" s="78">
        <f>E133-R133</f>
        <v>0</v>
      </c>
      <c r="T133" s="165" t="s">
        <v>394</v>
      </c>
      <c r="U133" s="99"/>
    </row>
    <row r="134" spans="1:21" x14ac:dyDescent="0.35">
      <c r="A134" s="105"/>
      <c r="B134" s="47" t="str">
        <f>'3) Pre-Opening Budget'!B103</f>
        <v>State Unemployment</v>
      </c>
      <c r="C134" s="61"/>
      <c r="D134" s="61"/>
      <c r="E134" s="130">
        <f>'3) Pre-Opening Budget'!E103</f>
        <v>800</v>
      </c>
      <c r="F134" s="87">
        <v>0</v>
      </c>
      <c r="G134" s="87">
        <v>0</v>
      </c>
      <c r="H134" s="87">
        <f t="shared" si="36"/>
        <v>57.951309141019749</v>
      </c>
      <c r="I134" s="87">
        <f t="shared" si="36"/>
        <v>57.951309141019749</v>
      </c>
      <c r="J134" s="87">
        <f t="shared" si="36"/>
        <v>57.951309141019749</v>
      </c>
      <c r="K134" s="87">
        <f t="shared" si="36"/>
        <v>57.951309141019749</v>
      </c>
      <c r="L134" s="87">
        <f t="shared" si="36"/>
        <v>94.699127239320163</v>
      </c>
      <c r="M134" s="87">
        <f t="shared" si="36"/>
        <v>94.699127239320163</v>
      </c>
      <c r="N134" s="87">
        <f t="shared" si="36"/>
        <v>94.699127239320163</v>
      </c>
      <c r="O134" s="87">
        <f t="shared" si="36"/>
        <v>94.699127239320163</v>
      </c>
      <c r="P134" s="87">
        <f t="shared" si="36"/>
        <v>94.699127239320163</v>
      </c>
      <c r="Q134" s="87">
        <f t="shared" si="36"/>
        <v>94.699127239320163</v>
      </c>
      <c r="R134" s="78">
        <f>SUM(F134:Q134)</f>
        <v>800.00000000000011</v>
      </c>
      <c r="S134" s="78">
        <f>E134-R134</f>
        <v>0</v>
      </c>
      <c r="T134" s="165" t="s">
        <v>395</v>
      </c>
      <c r="U134" s="99"/>
    </row>
    <row r="135" spans="1:21" x14ac:dyDescent="0.35">
      <c r="A135" s="105"/>
      <c r="B135" s="47" t="str">
        <f>'3) Pre-Opening Budget'!B104</f>
        <v>Disability/Life Insurance</v>
      </c>
      <c r="C135" s="61"/>
      <c r="D135" s="61"/>
      <c r="E135" s="130">
        <f>'3) Pre-Opening Budget'!E104</f>
        <v>0</v>
      </c>
      <c r="F135" s="87">
        <v>0</v>
      </c>
      <c r="G135" s="87">
        <v>0</v>
      </c>
      <c r="H135" s="87">
        <f t="shared" ref="H135:Q141" si="37">$E135/12</f>
        <v>0</v>
      </c>
      <c r="I135" s="87">
        <f t="shared" si="37"/>
        <v>0</v>
      </c>
      <c r="J135" s="87">
        <f t="shared" si="37"/>
        <v>0</v>
      </c>
      <c r="K135" s="87">
        <f t="shared" si="37"/>
        <v>0</v>
      </c>
      <c r="L135" s="87">
        <f t="shared" si="37"/>
        <v>0</v>
      </c>
      <c r="M135" s="87">
        <f t="shared" si="37"/>
        <v>0</v>
      </c>
      <c r="N135" s="87">
        <f t="shared" si="37"/>
        <v>0</v>
      </c>
      <c r="O135" s="87">
        <f t="shared" si="37"/>
        <v>0</v>
      </c>
      <c r="P135" s="87">
        <f t="shared" si="37"/>
        <v>0</v>
      </c>
      <c r="Q135" s="87">
        <f t="shared" si="37"/>
        <v>0</v>
      </c>
      <c r="R135" s="78">
        <f t="shared" ref="R135:R141" si="38">SUM(F135:Q135)</f>
        <v>0</v>
      </c>
      <c r="S135" s="78">
        <f t="shared" ref="S135:S141" si="39">E135-R135</f>
        <v>0</v>
      </c>
      <c r="T135" s="248" t="s">
        <v>396</v>
      </c>
      <c r="U135" s="99"/>
    </row>
    <row r="136" spans="1:21" x14ac:dyDescent="0.35">
      <c r="A136" s="105"/>
      <c r="B136" s="47" t="str">
        <f>'3) Pre-Opening Budget'!B105</f>
        <v>Workers Compensation Insurance</v>
      </c>
      <c r="C136" s="61"/>
      <c r="D136" s="61"/>
      <c r="E136" s="130">
        <f>'3) Pre-Opening Budget'!E105</f>
        <v>1088.5</v>
      </c>
      <c r="F136" s="87">
        <v>0</v>
      </c>
      <c r="G136" s="87">
        <v>0</v>
      </c>
      <c r="H136" s="87">
        <f t="shared" ref="H136:Q136" si="40">$E136*(H$123/$E$123)</f>
        <v>78.849999999999994</v>
      </c>
      <c r="I136" s="87">
        <f t="shared" si="40"/>
        <v>78.849999999999994</v>
      </c>
      <c r="J136" s="87">
        <f t="shared" si="40"/>
        <v>78.849999999999994</v>
      </c>
      <c r="K136" s="87">
        <f t="shared" si="40"/>
        <v>78.849999999999994</v>
      </c>
      <c r="L136" s="87">
        <f t="shared" si="40"/>
        <v>128.85</v>
      </c>
      <c r="M136" s="87">
        <f t="shared" si="40"/>
        <v>128.85</v>
      </c>
      <c r="N136" s="87">
        <f t="shared" si="40"/>
        <v>128.85</v>
      </c>
      <c r="O136" s="87">
        <f t="shared" si="40"/>
        <v>128.85</v>
      </c>
      <c r="P136" s="87">
        <f t="shared" si="40"/>
        <v>128.85</v>
      </c>
      <c r="Q136" s="87">
        <f t="shared" si="40"/>
        <v>128.85</v>
      </c>
      <c r="R136" s="78">
        <f t="shared" si="38"/>
        <v>1088.5</v>
      </c>
      <c r="S136" s="78">
        <f t="shared" si="39"/>
        <v>0</v>
      </c>
      <c r="T136" s="249" t="s">
        <v>397</v>
      </c>
      <c r="U136" s="99"/>
    </row>
    <row r="137" spans="1:21" x14ac:dyDescent="0.35">
      <c r="A137" s="105"/>
      <c r="B137" s="47" t="str">
        <f>'3) Pre-Opening Budget'!B106</f>
        <v>Other Fringe Benefits</v>
      </c>
      <c r="C137" s="61"/>
      <c r="D137" s="61"/>
      <c r="E137" s="130">
        <f>'3) Pre-Opening Budget'!E106</f>
        <v>0</v>
      </c>
      <c r="F137" s="87">
        <v>0</v>
      </c>
      <c r="G137" s="87">
        <v>0</v>
      </c>
      <c r="H137" s="87">
        <f t="shared" si="37"/>
        <v>0</v>
      </c>
      <c r="I137" s="87">
        <f t="shared" si="37"/>
        <v>0</v>
      </c>
      <c r="J137" s="87">
        <f t="shared" si="37"/>
        <v>0</v>
      </c>
      <c r="K137" s="87">
        <f t="shared" si="37"/>
        <v>0</v>
      </c>
      <c r="L137" s="87">
        <f t="shared" si="37"/>
        <v>0</v>
      </c>
      <c r="M137" s="87">
        <f t="shared" si="37"/>
        <v>0</v>
      </c>
      <c r="N137" s="87">
        <f t="shared" si="37"/>
        <v>0</v>
      </c>
      <c r="O137" s="87">
        <f t="shared" si="37"/>
        <v>0</v>
      </c>
      <c r="P137" s="87">
        <f t="shared" si="37"/>
        <v>0</v>
      </c>
      <c r="Q137" s="87">
        <f t="shared" si="37"/>
        <v>0</v>
      </c>
      <c r="R137" s="78">
        <f t="shared" si="38"/>
        <v>0</v>
      </c>
      <c r="S137" s="78">
        <f t="shared" si="39"/>
        <v>0</v>
      </c>
      <c r="T137" s="166"/>
      <c r="U137" s="99"/>
    </row>
    <row r="138" spans="1:21" ht="29" x14ac:dyDescent="0.35">
      <c r="A138" s="101"/>
      <c r="B138" s="47" t="str">
        <f>'3) Pre-Opening Budget'!B107</f>
        <v>Medical Insurance</v>
      </c>
      <c r="C138" s="61"/>
      <c r="D138" s="61"/>
      <c r="E138" s="130">
        <f>'3) Pre-Opening Budget'!E107</f>
        <v>4800</v>
      </c>
      <c r="F138" s="87">
        <v>0</v>
      </c>
      <c r="G138" s="87">
        <v>0</v>
      </c>
      <c r="H138" s="87">
        <f t="shared" ref="H138:Q140" si="41">$E138*(H$123/$E$123)</f>
        <v>347.70785484611849</v>
      </c>
      <c r="I138" s="87">
        <f t="shared" si="41"/>
        <v>347.70785484611849</v>
      </c>
      <c r="J138" s="87">
        <f t="shared" si="41"/>
        <v>347.70785484611849</v>
      </c>
      <c r="K138" s="87">
        <f t="shared" si="41"/>
        <v>347.70785484611849</v>
      </c>
      <c r="L138" s="87">
        <f t="shared" si="41"/>
        <v>568.194763435921</v>
      </c>
      <c r="M138" s="87">
        <f t="shared" si="41"/>
        <v>568.194763435921</v>
      </c>
      <c r="N138" s="87">
        <f t="shared" si="41"/>
        <v>568.194763435921</v>
      </c>
      <c r="O138" s="87">
        <f t="shared" si="41"/>
        <v>568.194763435921</v>
      </c>
      <c r="P138" s="87">
        <f t="shared" si="41"/>
        <v>568.194763435921</v>
      </c>
      <c r="Q138" s="87">
        <f t="shared" si="41"/>
        <v>568.194763435921</v>
      </c>
      <c r="R138" s="78">
        <f t="shared" si="38"/>
        <v>4800.0000000000009</v>
      </c>
      <c r="S138" s="78">
        <f t="shared" si="39"/>
        <v>0</v>
      </c>
      <c r="T138" s="261" t="s">
        <v>398</v>
      </c>
      <c r="U138" s="99"/>
    </row>
    <row r="139" spans="1:21" ht="29" x14ac:dyDescent="0.35">
      <c r="A139" s="101"/>
      <c r="B139" s="47" t="str">
        <f>'3) Pre-Opening Budget'!B108</f>
        <v>Dental Insurance</v>
      </c>
      <c r="C139" s="61"/>
      <c r="D139" s="61"/>
      <c r="E139" s="130">
        <f>'3) Pre-Opening Budget'!E108</f>
        <v>1200</v>
      </c>
      <c r="F139" s="87">
        <v>0</v>
      </c>
      <c r="G139" s="87">
        <v>0</v>
      </c>
      <c r="H139" s="87">
        <f t="shared" si="41"/>
        <v>86.926963711529623</v>
      </c>
      <c r="I139" s="87">
        <f t="shared" si="41"/>
        <v>86.926963711529623</v>
      </c>
      <c r="J139" s="87">
        <f t="shared" si="41"/>
        <v>86.926963711529623</v>
      </c>
      <c r="K139" s="87">
        <f t="shared" si="41"/>
        <v>86.926963711529623</v>
      </c>
      <c r="L139" s="87">
        <f t="shared" si="41"/>
        <v>142.04869085898025</v>
      </c>
      <c r="M139" s="87">
        <f t="shared" si="41"/>
        <v>142.04869085898025</v>
      </c>
      <c r="N139" s="87">
        <f t="shared" si="41"/>
        <v>142.04869085898025</v>
      </c>
      <c r="O139" s="87">
        <f t="shared" si="41"/>
        <v>142.04869085898025</v>
      </c>
      <c r="P139" s="87">
        <f t="shared" si="41"/>
        <v>142.04869085898025</v>
      </c>
      <c r="Q139" s="87">
        <f t="shared" si="41"/>
        <v>142.04869085898025</v>
      </c>
      <c r="R139" s="78">
        <f t="shared" si="38"/>
        <v>1200.0000000000002</v>
      </c>
      <c r="S139" s="78">
        <f t="shared" si="39"/>
        <v>0</v>
      </c>
      <c r="T139" s="261" t="s">
        <v>399</v>
      </c>
      <c r="U139" s="99"/>
    </row>
    <row r="140" spans="1:21" ht="29" x14ac:dyDescent="0.35">
      <c r="A140" s="105"/>
      <c r="B140" s="47" t="str">
        <f>'3) Pre-Opening Budget'!B109</f>
        <v>Vision Insurance</v>
      </c>
      <c r="C140" s="61"/>
      <c r="D140" s="61"/>
      <c r="E140" s="130">
        <f>'3) Pre-Opening Budget'!E109</f>
        <v>400</v>
      </c>
      <c r="F140" s="87">
        <v>0</v>
      </c>
      <c r="G140" s="87">
        <v>0</v>
      </c>
      <c r="H140" s="87">
        <f t="shared" si="41"/>
        <v>28.975654570509874</v>
      </c>
      <c r="I140" s="87">
        <f t="shared" si="41"/>
        <v>28.975654570509874</v>
      </c>
      <c r="J140" s="87">
        <f t="shared" si="41"/>
        <v>28.975654570509874</v>
      </c>
      <c r="K140" s="87">
        <f t="shared" si="41"/>
        <v>28.975654570509874</v>
      </c>
      <c r="L140" s="87">
        <f t="shared" si="41"/>
        <v>47.349563619660081</v>
      </c>
      <c r="M140" s="87">
        <f t="shared" si="41"/>
        <v>47.349563619660081</v>
      </c>
      <c r="N140" s="87">
        <f t="shared" si="41"/>
        <v>47.349563619660081</v>
      </c>
      <c r="O140" s="87">
        <f t="shared" si="41"/>
        <v>47.349563619660081</v>
      </c>
      <c r="P140" s="87">
        <f t="shared" si="41"/>
        <v>47.349563619660081</v>
      </c>
      <c r="Q140" s="87">
        <f t="shared" si="41"/>
        <v>47.349563619660081</v>
      </c>
      <c r="R140" s="78">
        <f t="shared" si="38"/>
        <v>400.00000000000006</v>
      </c>
      <c r="S140" s="78">
        <f t="shared" si="39"/>
        <v>0</v>
      </c>
      <c r="T140" s="261" t="s">
        <v>400</v>
      </c>
      <c r="U140" s="99"/>
    </row>
    <row r="141" spans="1:21" x14ac:dyDescent="0.35">
      <c r="A141" s="105"/>
      <c r="B141" s="47" t="str">
        <f>'3) Pre-Opening Budget'!B110</f>
        <v>Other Retirement</v>
      </c>
      <c r="C141" s="61"/>
      <c r="D141" s="61"/>
      <c r="E141" s="130">
        <f>'3) Pre-Opening Budget'!E110</f>
        <v>0</v>
      </c>
      <c r="F141" s="87">
        <f t="shared" ref="F141" si="42">$E141/12</f>
        <v>0</v>
      </c>
      <c r="G141" s="87">
        <v>0</v>
      </c>
      <c r="H141" s="87">
        <f t="shared" si="37"/>
        <v>0</v>
      </c>
      <c r="I141" s="87">
        <f t="shared" si="37"/>
        <v>0</v>
      </c>
      <c r="J141" s="87">
        <f t="shared" si="37"/>
        <v>0</v>
      </c>
      <c r="K141" s="87">
        <f t="shared" si="37"/>
        <v>0</v>
      </c>
      <c r="L141" s="87">
        <f t="shared" si="37"/>
        <v>0</v>
      </c>
      <c r="M141" s="87">
        <f t="shared" si="37"/>
        <v>0</v>
      </c>
      <c r="N141" s="87">
        <f t="shared" si="37"/>
        <v>0</v>
      </c>
      <c r="O141" s="87">
        <f t="shared" si="37"/>
        <v>0</v>
      </c>
      <c r="P141" s="87">
        <f t="shared" si="37"/>
        <v>0</v>
      </c>
      <c r="Q141" s="87">
        <f t="shared" si="37"/>
        <v>0</v>
      </c>
      <c r="R141" s="78">
        <f t="shared" si="38"/>
        <v>0</v>
      </c>
      <c r="S141" s="78">
        <f t="shared" si="39"/>
        <v>0</v>
      </c>
      <c r="T141" s="165"/>
      <c r="U141" s="99"/>
    </row>
    <row r="142" spans="1:21" x14ac:dyDescent="0.35">
      <c r="B142" s="119"/>
      <c r="C142" s="97"/>
      <c r="D142" s="97"/>
      <c r="E142" s="97"/>
      <c r="F142" s="97"/>
      <c r="G142" s="97"/>
      <c r="H142" s="97"/>
      <c r="I142" s="97"/>
      <c r="J142" s="97"/>
      <c r="K142" s="97"/>
      <c r="L142" s="97"/>
      <c r="M142" s="97"/>
      <c r="N142" s="97"/>
      <c r="O142" s="97"/>
      <c r="P142" s="97"/>
      <c r="Q142" s="97"/>
      <c r="R142" s="97"/>
      <c r="S142" s="97"/>
      <c r="T142" s="97"/>
      <c r="U142" s="99"/>
    </row>
    <row r="143" spans="1:21" ht="15" thickBot="1" x14ac:dyDescent="0.4">
      <c r="B143" s="123" t="s">
        <v>122</v>
      </c>
      <c r="C143" s="58"/>
      <c r="D143" s="58"/>
      <c r="E143" s="71">
        <f t="shared" ref="E143:S143" si="43">SUM(E132:E141)</f>
        <v>16615.525000000001</v>
      </c>
      <c r="F143" s="71">
        <f t="shared" si="43"/>
        <v>0</v>
      </c>
      <c r="G143" s="71">
        <f t="shared" si="43"/>
        <v>0</v>
      </c>
      <c r="H143" s="71">
        <f t="shared" si="43"/>
        <v>1203.6142822691779</v>
      </c>
      <c r="I143" s="71">
        <f t="shared" si="43"/>
        <v>1203.6142822691779</v>
      </c>
      <c r="J143" s="71">
        <f t="shared" si="43"/>
        <v>1203.6142822691779</v>
      </c>
      <c r="K143" s="71">
        <f t="shared" si="43"/>
        <v>1203.6142822691779</v>
      </c>
      <c r="L143" s="71">
        <f t="shared" si="43"/>
        <v>1966.8446451538814</v>
      </c>
      <c r="M143" s="71">
        <f t="shared" si="43"/>
        <v>1966.8446451538814</v>
      </c>
      <c r="N143" s="71">
        <f t="shared" si="43"/>
        <v>1966.8446451538814</v>
      </c>
      <c r="O143" s="71">
        <f t="shared" si="43"/>
        <v>1966.8446451538814</v>
      </c>
      <c r="P143" s="71">
        <f t="shared" si="43"/>
        <v>1966.8446451538814</v>
      </c>
      <c r="Q143" s="71">
        <f t="shared" si="43"/>
        <v>1966.8446451538814</v>
      </c>
      <c r="R143" s="71">
        <f t="shared" si="43"/>
        <v>16615.525000000001</v>
      </c>
      <c r="S143" s="71">
        <f t="shared" si="43"/>
        <v>0</v>
      </c>
      <c r="T143" s="73"/>
      <c r="U143" s="99"/>
    </row>
    <row r="144" spans="1:21" ht="15.5" thickTop="1" thickBot="1" x14ac:dyDescent="0.4">
      <c r="B144" s="226"/>
      <c r="C144" s="203"/>
      <c r="D144" s="203"/>
      <c r="E144" s="204"/>
      <c r="F144" s="204"/>
      <c r="G144" s="204"/>
      <c r="H144" s="204"/>
      <c r="I144" s="204"/>
      <c r="J144" s="204"/>
      <c r="K144" s="204"/>
      <c r="L144" s="204"/>
      <c r="M144" s="204"/>
      <c r="N144" s="204"/>
      <c r="O144" s="204"/>
      <c r="P144" s="204"/>
      <c r="Q144" s="204"/>
      <c r="R144" s="204"/>
      <c r="S144" s="204"/>
      <c r="T144" s="204"/>
      <c r="U144" s="134"/>
    </row>
    <row r="145" spans="1:21" x14ac:dyDescent="0.35">
      <c r="B145" s="227"/>
      <c r="C145" s="208"/>
      <c r="D145" s="208"/>
      <c r="E145" s="209"/>
      <c r="F145" s="209"/>
      <c r="G145" s="209"/>
      <c r="H145" s="209"/>
      <c r="I145" s="209"/>
      <c r="J145" s="209"/>
      <c r="K145" s="209"/>
      <c r="L145" s="209"/>
      <c r="M145" s="209"/>
      <c r="N145" s="209"/>
      <c r="O145" s="209"/>
      <c r="P145" s="209"/>
      <c r="Q145" s="209"/>
      <c r="R145" s="209"/>
      <c r="S145" s="209"/>
      <c r="T145" s="209"/>
      <c r="U145" s="95"/>
    </row>
    <row r="146" spans="1:21" x14ac:dyDescent="0.35">
      <c r="B146" s="123"/>
      <c r="C146" s="58"/>
      <c r="D146" s="58"/>
      <c r="E146" s="319" t="s">
        <v>128</v>
      </c>
      <c r="F146" s="319"/>
      <c r="G146" s="319"/>
      <c r="H146" s="319"/>
      <c r="I146" s="319"/>
      <c r="J146" s="319"/>
      <c r="K146" s="319"/>
      <c r="L146" s="319"/>
      <c r="M146" s="319"/>
      <c r="N146" s="319"/>
      <c r="O146" s="319"/>
      <c r="P146" s="319"/>
      <c r="Q146" s="319"/>
      <c r="R146" s="319"/>
      <c r="S146" s="319"/>
      <c r="T146" s="73"/>
      <c r="U146" s="99"/>
    </row>
    <row r="147" spans="1:21" x14ac:dyDescent="0.35">
      <c r="B147" s="123"/>
      <c r="C147" s="84"/>
      <c r="D147" s="58"/>
      <c r="E147" s="58"/>
      <c r="F147" s="58"/>
      <c r="G147" s="58"/>
      <c r="H147" s="58"/>
      <c r="I147" s="58"/>
      <c r="J147" s="58"/>
      <c r="K147" s="58"/>
      <c r="L147" s="58"/>
      <c r="M147" s="58"/>
      <c r="N147" s="58"/>
      <c r="O147" s="58"/>
      <c r="P147" s="58"/>
      <c r="Q147" s="58"/>
      <c r="R147" s="58"/>
      <c r="S147" s="58"/>
      <c r="T147" s="73"/>
      <c r="U147" s="242"/>
    </row>
    <row r="148" spans="1:21" x14ac:dyDescent="0.35">
      <c r="B148" s="123"/>
      <c r="C148" s="84"/>
      <c r="D148" s="58"/>
      <c r="E148" s="120" t="str">
        <f t="shared" ref="E148:S148" si="44">E10</f>
        <v>Year 0</v>
      </c>
      <c r="F148" s="120" t="str">
        <f t="shared" si="44"/>
        <v>Year 0</v>
      </c>
      <c r="G148" s="120" t="str">
        <f t="shared" si="44"/>
        <v>Year 0</v>
      </c>
      <c r="H148" s="120" t="str">
        <f t="shared" si="44"/>
        <v>Year 0</v>
      </c>
      <c r="I148" s="120" t="str">
        <f t="shared" si="44"/>
        <v>Year 0</v>
      </c>
      <c r="J148" s="120" t="str">
        <f t="shared" si="44"/>
        <v>Year 0</v>
      </c>
      <c r="K148" s="120" t="str">
        <f t="shared" si="44"/>
        <v>Year 0</v>
      </c>
      <c r="L148" s="120" t="str">
        <f t="shared" si="44"/>
        <v>Year 0</v>
      </c>
      <c r="M148" s="120" t="str">
        <f t="shared" si="44"/>
        <v>Year 0</v>
      </c>
      <c r="N148" s="120" t="str">
        <f t="shared" si="44"/>
        <v>Year 0</v>
      </c>
      <c r="O148" s="120" t="str">
        <f t="shared" si="44"/>
        <v>Year 0</v>
      </c>
      <c r="P148" s="120" t="str">
        <f t="shared" si="44"/>
        <v>Year 0</v>
      </c>
      <c r="Q148" s="120" t="str">
        <f t="shared" si="44"/>
        <v>Year 0</v>
      </c>
      <c r="R148" s="120" t="str">
        <f t="shared" si="44"/>
        <v>Year 0</v>
      </c>
      <c r="S148" s="120" t="str">
        <f t="shared" si="44"/>
        <v>Year 0</v>
      </c>
      <c r="T148" s="103"/>
      <c r="U148" s="242"/>
    </row>
    <row r="149" spans="1:21" x14ac:dyDescent="0.35">
      <c r="B149" s="123"/>
      <c r="C149" s="84"/>
      <c r="D149" s="58"/>
      <c r="E149" s="104" t="str">
        <f t="shared" ref="E149:S149" si="45">E11</f>
        <v>2020-21</v>
      </c>
      <c r="F149" s="104" t="str">
        <f t="shared" si="45"/>
        <v>2020-21</v>
      </c>
      <c r="G149" s="104" t="str">
        <f t="shared" si="45"/>
        <v>2020-21</v>
      </c>
      <c r="H149" s="104" t="str">
        <f t="shared" si="45"/>
        <v>2020-21</v>
      </c>
      <c r="I149" s="104" t="str">
        <f t="shared" si="45"/>
        <v>2020-21</v>
      </c>
      <c r="J149" s="104" t="str">
        <f t="shared" si="45"/>
        <v>2020-21</v>
      </c>
      <c r="K149" s="104" t="str">
        <f t="shared" si="45"/>
        <v>2020-21</v>
      </c>
      <c r="L149" s="104" t="str">
        <f t="shared" si="45"/>
        <v>2020-21</v>
      </c>
      <c r="M149" s="104" t="str">
        <f t="shared" si="45"/>
        <v>2020-21</v>
      </c>
      <c r="N149" s="104" t="str">
        <f t="shared" si="45"/>
        <v>2020-21</v>
      </c>
      <c r="O149" s="104" t="str">
        <f t="shared" si="45"/>
        <v>2020-21</v>
      </c>
      <c r="P149" s="104" t="str">
        <f t="shared" si="45"/>
        <v>2020-21</v>
      </c>
      <c r="Q149" s="104" t="str">
        <f t="shared" si="45"/>
        <v>2020-21</v>
      </c>
      <c r="R149" s="104" t="str">
        <f t="shared" si="45"/>
        <v>2020-21</v>
      </c>
      <c r="S149" s="104" t="str">
        <f t="shared" si="45"/>
        <v>2020-21</v>
      </c>
      <c r="T149" s="122"/>
      <c r="U149" s="242"/>
    </row>
    <row r="150" spans="1:21" x14ac:dyDescent="0.35">
      <c r="A150" s="101"/>
      <c r="B150" s="47"/>
      <c r="C150" s="84"/>
      <c r="D150" s="2"/>
      <c r="E150" s="104" t="str">
        <f t="shared" ref="E150:S150" si="46">E12</f>
        <v>Total Budget</v>
      </c>
      <c r="F150" s="104" t="str">
        <f t="shared" si="46"/>
        <v>July</v>
      </c>
      <c r="G150" s="104" t="str">
        <f t="shared" si="46"/>
        <v>August</v>
      </c>
      <c r="H150" s="104" t="str">
        <f t="shared" si="46"/>
        <v>September</v>
      </c>
      <c r="I150" s="104" t="str">
        <f t="shared" si="46"/>
        <v>October</v>
      </c>
      <c r="J150" s="104" t="str">
        <f t="shared" si="46"/>
        <v>November</v>
      </c>
      <c r="K150" s="104" t="str">
        <f t="shared" si="46"/>
        <v>December</v>
      </c>
      <c r="L150" s="104" t="str">
        <f t="shared" si="46"/>
        <v>January</v>
      </c>
      <c r="M150" s="104" t="str">
        <f t="shared" si="46"/>
        <v>February</v>
      </c>
      <c r="N150" s="104" t="str">
        <f t="shared" si="46"/>
        <v>March</v>
      </c>
      <c r="O150" s="104" t="str">
        <f t="shared" si="46"/>
        <v>April</v>
      </c>
      <c r="P150" s="104" t="str">
        <f t="shared" si="46"/>
        <v>May</v>
      </c>
      <c r="Q150" s="104" t="str">
        <f t="shared" si="46"/>
        <v>June</v>
      </c>
      <c r="R150" s="104" t="str">
        <f t="shared" si="46"/>
        <v>Total</v>
      </c>
      <c r="S150" s="104" t="str">
        <f t="shared" si="46"/>
        <v>AR/AP</v>
      </c>
      <c r="T150" s="60"/>
      <c r="U150" s="99"/>
    </row>
    <row r="151" spans="1:21" hidden="1" x14ac:dyDescent="0.35">
      <c r="A151" s="101"/>
      <c r="B151" s="47"/>
      <c r="C151" s="105"/>
      <c r="D151" s="2"/>
      <c r="E151" s="107" t="e">
        <f>100%+E150</f>
        <v>#VALUE!</v>
      </c>
      <c r="F151" s="107" t="e">
        <f>E151*(1+F150)</f>
        <v>#VALUE!</v>
      </c>
      <c r="G151" s="107" t="e">
        <f t="shared" ref="G151:M151" si="47">F151*(1+G150)</f>
        <v>#VALUE!</v>
      </c>
      <c r="H151" s="107" t="e">
        <f t="shared" si="47"/>
        <v>#VALUE!</v>
      </c>
      <c r="I151" s="107" t="e">
        <f t="shared" si="47"/>
        <v>#VALUE!</v>
      </c>
      <c r="J151" s="107" t="e">
        <f t="shared" si="47"/>
        <v>#VALUE!</v>
      </c>
      <c r="K151" s="107" t="e">
        <f t="shared" si="47"/>
        <v>#VALUE!</v>
      </c>
      <c r="L151" s="107" t="e">
        <f t="shared" si="47"/>
        <v>#VALUE!</v>
      </c>
      <c r="M151" s="107" t="e">
        <f t="shared" si="47"/>
        <v>#VALUE!</v>
      </c>
      <c r="N151" s="107"/>
      <c r="O151" s="107"/>
      <c r="P151" s="107"/>
      <c r="Q151" s="107"/>
      <c r="R151" s="107"/>
      <c r="S151" s="107" t="e">
        <f>M151*(1+S150)</f>
        <v>#VALUE!</v>
      </c>
      <c r="T151" s="107"/>
      <c r="U151" s="99"/>
    </row>
    <row r="152" spans="1:21" x14ac:dyDescent="0.35">
      <c r="B152" s="123"/>
      <c r="C152" s="84"/>
      <c r="D152" s="58"/>
      <c r="E152" s="73"/>
      <c r="F152" s="73"/>
      <c r="G152" s="73"/>
      <c r="H152" s="73"/>
      <c r="I152" s="73"/>
      <c r="J152" s="73"/>
      <c r="K152" s="73"/>
      <c r="L152" s="73"/>
      <c r="M152" s="73"/>
      <c r="N152" s="73"/>
      <c r="O152" s="73"/>
      <c r="P152" s="73"/>
      <c r="Q152" s="73"/>
      <c r="R152" s="73"/>
      <c r="S152" s="73"/>
      <c r="T152" s="73"/>
      <c r="U152" s="99"/>
    </row>
    <row r="153" spans="1:21" x14ac:dyDescent="0.35">
      <c r="B153" s="123" t="s">
        <v>123</v>
      </c>
      <c r="C153" s="84"/>
      <c r="D153" s="58"/>
      <c r="E153" s="73"/>
      <c r="F153" s="73"/>
      <c r="G153" s="73"/>
      <c r="H153" s="73"/>
      <c r="I153" s="73"/>
      <c r="J153" s="73"/>
      <c r="K153" s="73"/>
      <c r="L153" s="73"/>
      <c r="M153" s="73"/>
      <c r="N153" s="73"/>
      <c r="O153" s="73"/>
      <c r="P153" s="73"/>
      <c r="Q153" s="73"/>
      <c r="R153" s="73"/>
      <c r="S153" s="73"/>
      <c r="T153" s="63" t="s">
        <v>133</v>
      </c>
      <c r="U153" s="99"/>
    </row>
    <row r="154" spans="1:21" x14ac:dyDescent="0.35">
      <c r="B154" s="47" t="str">
        <f>'3) Pre-Opening Budget'!B123</f>
        <v>Professional Development</v>
      </c>
      <c r="C154" s="131"/>
      <c r="D154" s="97"/>
      <c r="E154" s="115">
        <f>'3) Pre-Opening Budget'!E123</f>
        <v>20000</v>
      </c>
      <c r="F154" s="87">
        <v>0</v>
      </c>
      <c r="G154" s="87">
        <v>0</v>
      </c>
      <c r="H154" s="87">
        <f>E154</f>
        <v>20000</v>
      </c>
      <c r="I154" s="87">
        <v>0</v>
      </c>
      <c r="J154" s="87">
        <v>0</v>
      </c>
      <c r="K154" s="87">
        <v>0</v>
      </c>
      <c r="L154" s="87">
        <v>0</v>
      </c>
      <c r="M154" s="87">
        <v>0</v>
      </c>
      <c r="N154" s="87">
        <v>0</v>
      </c>
      <c r="O154" s="87">
        <v>0</v>
      </c>
      <c r="P154" s="87">
        <v>0</v>
      </c>
      <c r="Q154" s="87">
        <v>0</v>
      </c>
      <c r="R154" s="78">
        <f>SUM(F154:Q154)</f>
        <v>20000</v>
      </c>
      <c r="S154" s="78">
        <f>E154-R154</f>
        <v>0</v>
      </c>
      <c r="T154" s="165" t="s">
        <v>401</v>
      </c>
      <c r="U154" s="99"/>
    </row>
    <row r="155" spans="1:21" x14ac:dyDescent="0.35">
      <c r="B155" s="47" t="str">
        <f>'3) Pre-Opening Budget'!B124</f>
        <v>Financial Services</v>
      </c>
      <c r="C155" s="131"/>
      <c r="D155" s="97"/>
      <c r="E155" s="115">
        <f>'3) Pre-Opening Budget'!E124</f>
        <v>12000</v>
      </c>
      <c r="F155" s="87">
        <v>0</v>
      </c>
      <c r="G155" s="87">
        <v>0</v>
      </c>
      <c r="H155" s="87">
        <v>0</v>
      </c>
      <c r="I155" s="87">
        <v>0</v>
      </c>
      <c r="J155" s="87">
        <v>0</v>
      </c>
      <c r="K155" s="87">
        <v>0</v>
      </c>
      <c r="L155" s="87">
        <f t="shared" ref="L155:Q155" si="48">$E155/6</f>
        <v>2000</v>
      </c>
      <c r="M155" s="87">
        <f t="shared" si="48"/>
        <v>2000</v>
      </c>
      <c r="N155" s="87">
        <f t="shared" si="48"/>
        <v>2000</v>
      </c>
      <c r="O155" s="87">
        <f t="shared" si="48"/>
        <v>2000</v>
      </c>
      <c r="P155" s="87">
        <f t="shared" si="48"/>
        <v>2000</v>
      </c>
      <c r="Q155" s="87">
        <f t="shared" si="48"/>
        <v>2000</v>
      </c>
      <c r="R155" s="78">
        <f>SUM(F155:Q155)</f>
        <v>12000</v>
      </c>
      <c r="S155" s="78">
        <f>E155-R155</f>
        <v>0</v>
      </c>
      <c r="T155" s="261" t="s">
        <v>402</v>
      </c>
      <c r="U155" s="99"/>
    </row>
    <row r="156" spans="1:21" x14ac:dyDescent="0.35">
      <c r="B156" s="47" t="str">
        <f>'3) Pre-Opening Budget'!B125</f>
        <v>Audit Services</v>
      </c>
      <c r="C156" s="131"/>
      <c r="D156" s="97"/>
      <c r="E156" s="115">
        <f>'3) Pre-Opening Budget'!E125</f>
        <v>0</v>
      </c>
      <c r="F156" s="87">
        <f t="shared" ref="F156:F165" si="49">$E156/12</f>
        <v>0</v>
      </c>
      <c r="G156" s="87">
        <f t="shared" ref="G156:Q162" si="50">$E156/12</f>
        <v>0</v>
      </c>
      <c r="H156" s="87">
        <f t="shared" si="50"/>
        <v>0</v>
      </c>
      <c r="I156" s="87">
        <f t="shared" si="50"/>
        <v>0</v>
      </c>
      <c r="J156" s="87">
        <f t="shared" si="50"/>
        <v>0</v>
      </c>
      <c r="K156" s="87">
        <f t="shared" si="50"/>
        <v>0</v>
      </c>
      <c r="L156" s="87">
        <f t="shared" si="50"/>
        <v>0</v>
      </c>
      <c r="M156" s="87">
        <f t="shared" si="50"/>
        <v>0</v>
      </c>
      <c r="N156" s="87">
        <f t="shared" si="50"/>
        <v>0</v>
      </c>
      <c r="O156" s="87">
        <f t="shared" si="50"/>
        <v>0</v>
      </c>
      <c r="P156" s="87">
        <f t="shared" si="50"/>
        <v>0</v>
      </c>
      <c r="Q156" s="87">
        <f t="shared" si="50"/>
        <v>0</v>
      </c>
      <c r="R156" s="78">
        <f>SUM(F156:Q156)</f>
        <v>0</v>
      </c>
      <c r="S156" s="78">
        <f>E156-R156</f>
        <v>0</v>
      </c>
      <c r="T156" s="165"/>
      <c r="U156" s="99"/>
    </row>
    <row r="157" spans="1:21" x14ac:dyDescent="0.35">
      <c r="B157" s="47" t="str">
        <f>'3) Pre-Opening Budget'!B126</f>
        <v>Legal Fees</v>
      </c>
      <c r="C157" s="131"/>
      <c r="D157" s="97"/>
      <c r="E157" s="115">
        <f>'3) Pre-Opening Budget'!E126</f>
        <v>2500</v>
      </c>
      <c r="F157" s="87">
        <v>0</v>
      </c>
      <c r="G157" s="87">
        <v>0</v>
      </c>
      <c r="H157" s="87">
        <f>E157</f>
        <v>2500</v>
      </c>
      <c r="I157" s="87">
        <v>0</v>
      </c>
      <c r="J157" s="87">
        <v>0</v>
      </c>
      <c r="K157" s="87">
        <v>0</v>
      </c>
      <c r="L157" s="87">
        <v>0</v>
      </c>
      <c r="M157" s="87">
        <v>0</v>
      </c>
      <c r="N157" s="87">
        <v>0</v>
      </c>
      <c r="O157" s="87">
        <v>0</v>
      </c>
      <c r="P157" s="87">
        <v>0</v>
      </c>
      <c r="Q157" s="87">
        <v>0</v>
      </c>
      <c r="R157" s="78">
        <f t="shared" ref="R157:R163" si="51">SUM(F157:Q157)</f>
        <v>2500</v>
      </c>
      <c r="S157" s="78">
        <f t="shared" ref="S157:S163" si="52">E157-R157</f>
        <v>0</v>
      </c>
      <c r="T157" s="165" t="s">
        <v>403</v>
      </c>
      <c r="U157" s="99"/>
    </row>
    <row r="158" spans="1:21" x14ac:dyDescent="0.35">
      <c r="B158" s="47" t="str">
        <f>'3) Pre-Opening Budget'!B127</f>
        <v>Copier Lease and Usage</v>
      </c>
      <c r="C158" s="131"/>
      <c r="D158" s="97"/>
      <c r="E158" s="115">
        <f>'3) Pre-Opening Budget'!E127</f>
        <v>0</v>
      </c>
      <c r="F158" s="87">
        <f t="shared" si="49"/>
        <v>0</v>
      </c>
      <c r="G158" s="87">
        <f t="shared" si="50"/>
        <v>0</v>
      </c>
      <c r="H158" s="87">
        <f t="shared" si="50"/>
        <v>0</v>
      </c>
      <c r="I158" s="87">
        <f t="shared" si="50"/>
        <v>0</v>
      </c>
      <c r="J158" s="87">
        <f t="shared" si="50"/>
        <v>0</v>
      </c>
      <c r="K158" s="87">
        <f t="shared" si="50"/>
        <v>0</v>
      </c>
      <c r="L158" s="87">
        <f t="shared" si="50"/>
        <v>0</v>
      </c>
      <c r="M158" s="87">
        <f t="shared" si="50"/>
        <v>0</v>
      </c>
      <c r="N158" s="87">
        <f t="shared" si="50"/>
        <v>0</v>
      </c>
      <c r="O158" s="87">
        <f t="shared" si="50"/>
        <v>0</v>
      </c>
      <c r="P158" s="87">
        <f t="shared" si="50"/>
        <v>0</v>
      </c>
      <c r="Q158" s="87">
        <f t="shared" si="50"/>
        <v>0</v>
      </c>
      <c r="R158" s="78">
        <f t="shared" si="51"/>
        <v>0</v>
      </c>
      <c r="S158" s="78">
        <f t="shared" si="52"/>
        <v>0</v>
      </c>
      <c r="T158" s="165"/>
      <c r="U158" s="99"/>
    </row>
    <row r="159" spans="1:21" x14ac:dyDescent="0.35">
      <c r="B159" s="47" t="str">
        <f>'3) Pre-Opening Budget'!B128</f>
        <v>Internet and Phone Service</v>
      </c>
      <c r="C159" s="131"/>
      <c r="D159" s="97"/>
      <c r="E159" s="115">
        <f>'3) Pre-Opening Budget'!E128</f>
        <v>0</v>
      </c>
      <c r="F159" s="87">
        <f t="shared" si="49"/>
        <v>0</v>
      </c>
      <c r="G159" s="87">
        <f t="shared" si="50"/>
        <v>0</v>
      </c>
      <c r="H159" s="87">
        <f t="shared" si="50"/>
        <v>0</v>
      </c>
      <c r="I159" s="87">
        <f t="shared" si="50"/>
        <v>0</v>
      </c>
      <c r="J159" s="87">
        <f t="shared" si="50"/>
        <v>0</v>
      </c>
      <c r="K159" s="87">
        <f t="shared" si="50"/>
        <v>0</v>
      </c>
      <c r="L159" s="87">
        <f t="shared" si="50"/>
        <v>0</v>
      </c>
      <c r="M159" s="87">
        <f t="shared" si="50"/>
        <v>0</v>
      </c>
      <c r="N159" s="87">
        <f t="shared" si="50"/>
        <v>0</v>
      </c>
      <c r="O159" s="87">
        <f t="shared" si="50"/>
        <v>0</v>
      </c>
      <c r="P159" s="87">
        <f t="shared" si="50"/>
        <v>0</v>
      </c>
      <c r="Q159" s="87">
        <f t="shared" si="50"/>
        <v>0</v>
      </c>
      <c r="R159" s="78">
        <f t="shared" si="51"/>
        <v>0</v>
      </c>
      <c r="S159" s="78">
        <f t="shared" si="52"/>
        <v>0</v>
      </c>
      <c r="T159" s="165"/>
      <c r="U159" s="99"/>
    </row>
    <row r="160" spans="1:21" x14ac:dyDescent="0.35">
      <c r="B160" s="47" t="str">
        <f>'3) Pre-Opening Budget'!B129</f>
        <v>Cell Phone Service</v>
      </c>
      <c r="C160" s="131"/>
      <c r="D160" s="97"/>
      <c r="E160" s="115">
        <f>'3) Pre-Opening Budget'!E129</f>
        <v>500</v>
      </c>
      <c r="F160" s="87">
        <v>0</v>
      </c>
      <c r="G160" s="87">
        <v>0</v>
      </c>
      <c r="H160" s="87">
        <f>$E160/10</f>
        <v>50</v>
      </c>
      <c r="I160" s="87">
        <f>$E160/10</f>
        <v>50</v>
      </c>
      <c r="J160" s="87">
        <f>$E160/10</f>
        <v>50</v>
      </c>
      <c r="K160" s="87">
        <f>$E160/10</f>
        <v>50</v>
      </c>
      <c r="L160" s="87">
        <f t="shared" ref="L160:Q161" si="53">$E160/10</f>
        <v>50</v>
      </c>
      <c r="M160" s="87">
        <f t="shared" si="53"/>
        <v>50</v>
      </c>
      <c r="N160" s="87">
        <f t="shared" si="53"/>
        <v>50</v>
      </c>
      <c r="O160" s="87">
        <f t="shared" si="53"/>
        <v>50</v>
      </c>
      <c r="P160" s="87">
        <f t="shared" si="53"/>
        <v>50</v>
      </c>
      <c r="Q160" s="87">
        <f t="shared" si="53"/>
        <v>50</v>
      </c>
      <c r="R160" s="78">
        <f t="shared" si="51"/>
        <v>500</v>
      </c>
      <c r="S160" s="78">
        <f t="shared" si="52"/>
        <v>0</v>
      </c>
      <c r="T160" s="261" t="s">
        <v>404</v>
      </c>
      <c r="U160" s="99"/>
    </row>
    <row r="161" spans="2:21" x14ac:dyDescent="0.35">
      <c r="B161" s="47" t="str">
        <f>'3) Pre-Opening Budget'!B130</f>
        <v>Payroll Services</v>
      </c>
      <c r="C161" s="131"/>
      <c r="D161" s="97"/>
      <c r="E161" s="115">
        <f>'3) Pre-Opening Budget'!E130</f>
        <v>1500</v>
      </c>
      <c r="F161" s="87">
        <v>0</v>
      </c>
      <c r="G161" s="87">
        <v>0</v>
      </c>
      <c r="H161" s="87">
        <f>$E161/10</f>
        <v>150</v>
      </c>
      <c r="I161" s="87">
        <f t="shared" ref="I161:K161" si="54">$E161/10</f>
        <v>150</v>
      </c>
      <c r="J161" s="87">
        <f t="shared" si="54"/>
        <v>150</v>
      </c>
      <c r="K161" s="87">
        <f t="shared" si="54"/>
        <v>150</v>
      </c>
      <c r="L161" s="87">
        <f t="shared" si="53"/>
        <v>150</v>
      </c>
      <c r="M161" s="87">
        <f t="shared" si="53"/>
        <v>150</v>
      </c>
      <c r="N161" s="87">
        <f t="shared" si="53"/>
        <v>150</v>
      </c>
      <c r="O161" s="87">
        <f t="shared" si="53"/>
        <v>150</v>
      </c>
      <c r="P161" s="87">
        <f t="shared" si="53"/>
        <v>150</v>
      </c>
      <c r="Q161" s="87">
        <f t="shared" si="53"/>
        <v>150</v>
      </c>
      <c r="R161" s="78">
        <f t="shared" si="51"/>
        <v>1500</v>
      </c>
      <c r="S161" s="78">
        <f t="shared" si="52"/>
        <v>0</v>
      </c>
      <c r="T161" s="165" t="s">
        <v>405</v>
      </c>
      <c r="U161" s="99"/>
    </row>
    <row r="162" spans="2:21" x14ac:dyDescent="0.35">
      <c r="B162" s="47" t="str">
        <f>'3) Pre-Opening Budget'!B131</f>
        <v>Health Services</v>
      </c>
      <c r="C162" s="131"/>
      <c r="D162" s="97"/>
      <c r="E162" s="115">
        <f>'3) Pre-Opening Budget'!E131</f>
        <v>0</v>
      </c>
      <c r="F162" s="87">
        <f t="shared" si="49"/>
        <v>0</v>
      </c>
      <c r="G162" s="87">
        <f t="shared" si="50"/>
        <v>0</v>
      </c>
      <c r="H162" s="87">
        <f t="shared" si="50"/>
        <v>0</v>
      </c>
      <c r="I162" s="87">
        <f t="shared" si="50"/>
        <v>0</v>
      </c>
      <c r="J162" s="87">
        <f t="shared" si="50"/>
        <v>0</v>
      </c>
      <c r="K162" s="87">
        <f t="shared" si="50"/>
        <v>0</v>
      </c>
      <c r="L162" s="87">
        <f t="shared" si="50"/>
        <v>0</v>
      </c>
      <c r="M162" s="87">
        <f t="shared" si="50"/>
        <v>0</v>
      </c>
      <c r="N162" s="87">
        <f t="shared" si="50"/>
        <v>0</v>
      </c>
      <c r="O162" s="87">
        <f t="shared" ref="G162:Q165" si="55">$E162/12</f>
        <v>0</v>
      </c>
      <c r="P162" s="87">
        <f t="shared" si="55"/>
        <v>0</v>
      </c>
      <c r="Q162" s="87">
        <f t="shared" si="55"/>
        <v>0</v>
      </c>
      <c r="R162" s="78">
        <f t="shared" si="51"/>
        <v>0</v>
      </c>
      <c r="S162" s="78">
        <f t="shared" si="52"/>
        <v>0</v>
      </c>
      <c r="T162" s="165"/>
      <c r="U162" s="99"/>
    </row>
    <row r="163" spans="2:21" x14ac:dyDescent="0.35">
      <c r="B163" s="47" t="str">
        <f>'3) Pre-Opening Budget'!B132</f>
        <v>Transportation</v>
      </c>
      <c r="C163" s="131"/>
      <c r="D163" s="97"/>
      <c r="E163" s="115">
        <f>'3) Pre-Opening Budget'!E132</f>
        <v>0</v>
      </c>
      <c r="F163" s="87">
        <f t="shared" si="49"/>
        <v>0</v>
      </c>
      <c r="G163" s="87">
        <f t="shared" si="55"/>
        <v>0</v>
      </c>
      <c r="H163" s="87">
        <f t="shared" si="55"/>
        <v>0</v>
      </c>
      <c r="I163" s="87">
        <f t="shared" si="55"/>
        <v>0</v>
      </c>
      <c r="J163" s="87">
        <f t="shared" si="55"/>
        <v>0</v>
      </c>
      <c r="K163" s="87">
        <f t="shared" si="55"/>
        <v>0</v>
      </c>
      <c r="L163" s="87">
        <f t="shared" si="55"/>
        <v>0</v>
      </c>
      <c r="M163" s="87">
        <f t="shared" si="55"/>
        <v>0</v>
      </c>
      <c r="N163" s="87">
        <f t="shared" si="55"/>
        <v>0</v>
      </c>
      <c r="O163" s="87">
        <f t="shared" si="55"/>
        <v>0</v>
      </c>
      <c r="P163" s="87">
        <f t="shared" si="55"/>
        <v>0</v>
      </c>
      <c r="Q163" s="87">
        <f t="shared" si="55"/>
        <v>0</v>
      </c>
      <c r="R163" s="78">
        <f t="shared" si="51"/>
        <v>0</v>
      </c>
      <c r="S163" s="78">
        <f t="shared" si="52"/>
        <v>0</v>
      </c>
      <c r="T163" s="165"/>
      <c r="U163" s="99"/>
    </row>
    <row r="164" spans="2:21" x14ac:dyDescent="0.35">
      <c r="B164" s="47" t="str">
        <f>'3) Pre-Opening Budget'!B133</f>
        <v>IT Services</v>
      </c>
      <c r="C164" s="131"/>
      <c r="D164" s="97"/>
      <c r="E164" s="115">
        <f>'3) Pre-Opening Budget'!E133</f>
        <v>0</v>
      </c>
      <c r="F164" s="87">
        <f t="shared" si="49"/>
        <v>0</v>
      </c>
      <c r="G164" s="87">
        <f t="shared" si="55"/>
        <v>0</v>
      </c>
      <c r="H164" s="87">
        <f t="shared" si="55"/>
        <v>0</v>
      </c>
      <c r="I164" s="87">
        <f t="shared" si="55"/>
        <v>0</v>
      </c>
      <c r="J164" s="87">
        <f t="shared" si="55"/>
        <v>0</v>
      </c>
      <c r="K164" s="87">
        <f t="shared" si="55"/>
        <v>0</v>
      </c>
      <c r="L164" s="87">
        <f t="shared" si="55"/>
        <v>0</v>
      </c>
      <c r="M164" s="87">
        <f t="shared" si="55"/>
        <v>0</v>
      </c>
      <c r="N164" s="87">
        <f t="shared" si="55"/>
        <v>0</v>
      </c>
      <c r="O164" s="87">
        <f t="shared" si="55"/>
        <v>0</v>
      </c>
      <c r="P164" s="87">
        <f t="shared" si="55"/>
        <v>0</v>
      </c>
      <c r="Q164" s="87">
        <f t="shared" si="55"/>
        <v>0</v>
      </c>
      <c r="R164" s="78">
        <f>SUM(F164:Q164)</f>
        <v>0</v>
      </c>
      <c r="S164" s="78">
        <f>E164-R164</f>
        <v>0</v>
      </c>
      <c r="T164" s="165"/>
      <c r="U164" s="99"/>
    </row>
    <row r="165" spans="2:21" x14ac:dyDescent="0.35">
      <c r="B165" s="47" t="str">
        <f>'3) Pre-Opening Budget'!B134</f>
        <v>Contracted SPED Services</v>
      </c>
      <c r="C165" s="131"/>
      <c r="D165" s="97"/>
      <c r="E165" s="115">
        <f>'3) Pre-Opening Budget'!E134</f>
        <v>0</v>
      </c>
      <c r="F165" s="87">
        <f t="shared" si="49"/>
        <v>0</v>
      </c>
      <c r="G165" s="87">
        <f t="shared" si="55"/>
        <v>0</v>
      </c>
      <c r="H165" s="87">
        <f t="shared" si="55"/>
        <v>0</v>
      </c>
      <c r="I165" s="87">
        <f t="shared" si="55"/>
        <v>0</v>
      </c>
      <c r="J165" s="87">
        <f t="shared" si="55"/>
        <v>0</v>
      </c>
      <c r="K165" s="87">
        <f t="shared" si="55"/>
        <v>0</v>
      </c>
      <c r="L165" s="87">
        <f t="shared" si="55"/>
        <v>0</v>
      </c>
      <c r="M165" s="87">
        <f t="shared" si="55"/>
        <v>0</v>
      </c>
      <c r="N165" s="87">
        <f t="shared" si="55"/>
        <v>0</v>
      </c>
      <c r="O165" s="87">
        <f t="shared" si="55"/>
        <v>0</v>
      </c>
      <c r="P165" s="87">
        <f t="shared" si="55"/>
        <v>0</v>
      </c>
      <c r="Q165" s="87">
        <f t="shared" si="55"/>
        <v>0</v>
      </c>
      <c r="R165" s="78">
        <f>SUM(F165:Q165)</f>
        <v>0</v>
      </c>
      <c r="S165" s="78">
        <f>E165-R165</f>
        <v>0</v>
      </c>
      <c r="T165" s="165"/>
      <c r="U165" s="99"/>
    </row>
    <row r="166" spans="2:21" x14ac:dyDescent="0.35">
      <c r="B166" s="47" t="str">
        <f>'3) Pre-Opening Budget'!B135</f>
        <v>Insurance</v>
      </c>
      <c r="C166" s="131"/>
      <c r="D166" s="97"/>
      <c r="E166" s="115">
        <f>'3) Pre-Opening Budget'!E135</f>
        <v>4000</v>
      </c>
      <c r="F166" s="87">
        <v>0</v>
      </c>
      <c r="G166" s="87">
        <v>0</v>
      </c>
      <c r="H166" s="87">
        <v>4000</v>
      </c>
      <c r="I166" s="87"/>
      <c r="J166" s="87"/>
      <c r="K166" s="87"/>
      <c r="L166" s="87"/>
      <c r="M166" s="87"/>
      <c r="N166" s="87"/>
      <c r="O166" s="87"/>
      <c r="P166" s="87"/>
      <c r="Q166" s="87"/>
      <c r="R166" s="78">
        <f>SUM(F166:Q166)</f>
        <v>4000</v>
      </c>
      <c r="S166" s="78">
        <f>E166-R166</f>
        <v>0</v>
      </c>
      <c r="T166" s="165" t="s">
        <v>406</v>
      </c>
      <c r="U166" s="99"/>
    </row>
    <row r="167" spans="2:21" x14ac:dyDescent="0.35">
      <c r="B167" s="47" t="str">
        <f>'3) Pre-Opening Budget'!B136</f>
        <v>Postal Charges</v>
      </c>
      <c r="C167" s="131"/>
      <c r="D167" s="97"/>
      <c r="E167" s="115">
        <f>'3) Pre-Opening Budget'!E136</f>
        <v>240</v>
      </c>
      <c r="F167" s="87">
        <v>0</v>
      </c>
      <c r="G167" s="87">
        <v>0</v>
      </c>
      <c r="H167" s="87">
        <f t="shared" ref="H167:Q168" si="56">$E167/10</f>
        <v>24</v>
      </c>
      <c r="I167" s="87">
        <f t="shared" si="56"/>
        <v>24</v>
      </c>
      <c r="J167" s="87">
        <f t="shared" si="56"/>
        <v>24</v>
      </c>
      <c r="K167" s="87">
        <f t="shared" si="56"/>
        <v>24</v>
      </c>
      <c r="L167" s="87">
        <f t="shared" si="56"/>
        <v>24</v>
      </c>
      <c r="M167" s="87">
        <f t="shared" si="56"/>
        <v>24</v>
      </c>
      <c r="N167" s="87">
        <f t="shared" si="56"/>
        <v>24</v>
      </c>
      <c r="O167" s="87">
        <f t="shared" si="56"/>
        <v>24</v>
      </c>
      <c r="P167" s="87">
        <f t="shared" si="56"/>
        <v>24</v>
      </c>
      <c r="Q167" s="87">
        <f t="shared" si="56"/>
        <v>24</v>
      </c>
      <c r="R167" s="78">
        <f>SUM(F167:Q167)</f>
        <v>240</v>
      </c>
      <c r="S167" s="78">
        <f>E167-R167</f>
        <v>0</v>
      </c>
      <c r="T167" s="261" t="s">
        <v>407</v>
      </c>
      <c r="U167" s="99"/>
    </row>
    <row r="168" spans="2:21" x14ac:dyDescent="0.35">
      <c r="B168" s="47" t="str">
        <f>'3) Pre-Opening Budget'!B137</f>
        <v>Bank Charges</v>
      </c>
      <c r="C168" s="131"/>
      <c r="D168" s="97"/>
      <c r="E168" s="115">
        <f>'3) Pre-Opening Budget'!E137</f>
        <v>240</v>
      </c>
      <c r="F168" s="87">
        <v>0</v>
      </c>
      <c r="G168" s="87">
        <v>0</v>
      </c>
      <c r="H168" s="87">
        <f t="shared" si="56"/>
        <v>24</v>
      </c>
      <c r="I168" s="87">
        <f t="shared" si="56"/>
        <v>24</v>
      </c>
      <c r="J168" s="87">
        <f t="shared" si="56"/>
        <v>24</v>
      </c>
      <c r="K168" s="87">
        <f t="shared" si="56"/>
        <v>24</v>
      </c>
      <c r="L168" s="87">
        <f t="shared" si="56"/>
        <v>24</v>
      </c>
      <c r="M168" s="87">
        <f t="shared" si="56"/>
        <v>24</v>
      </c>
      <c r="N168" s="87">
        <f t="shared" si="56"/>
        <v>24</v>
      </c>
      <c r="O168" s="87">
        <f t="shared" si="56"/>
        <v>24</v>
      </c>
      <c r="P168" s="87">
        <f t="shared" si="56"/>
        <v>24</v>
      </c>
      <c r="Q168" s="87">
        <f t="shared" si="56"/>
        <v>24</v>
      </c>
      <c r="R168" s="78">
        <f>SUM(F168:Q168)</f>
        <v>240</v>
      </c>
      <c r="S168" s="78">
        <f>E168-R168</f>
        <v>0</v>
      </c>
      <c r="T168" s="261" t="s">
        <v>408</v>
      </c>
      <c r="U168" s="99"/>
    </row>
    <row r="169" spans="2:21" x14ac:dyDescent="0.35">
      <c r="B169" s="123"/>
      <c r="C169" s="84"/>
      <c r="D169" s="58"/>
      <c r="E169" s="72"/>
      <c r="F169" s="73"/>
      <c r="G169" s="73"/>
      <c r="H169" s="73"/>
      <c r="I169" s="73"/>
      <c r="J169" s="73"/>
      <c r="K169" s="73"/>
      <c r="L169" s="73"/>
      <c r="M169" s="73"/>
      <c r="N169" s="73"/>
      <c r="O169" s="73"/>
      <c r="P169" s="73"/>
      <c r="Q169" s="73"/>
      <c r="R169" s="73"/>
      <c r="S169" s="73"/>
      <c r="T169" s="72"/>
      <c r="U169" s="99"/>
    </row>
    <row r="170" spans="2:21" x14ac:dyDescent="0.35">
      <c r="B170" s="123" t="s">
        <v>124</v>
      </c>
      <c r="C170" s="84"/>
      <c r="D170" s="58"/>
      <c r="E170" s="72"/>
      <c r="F170" s="73"/>
      <c r="G170" s="73"/>
      <c r="H170" s="73"/>
      <c r="I170" s="73"/>
      <c r="J170" s="73"/>
      <c r="K170" s="73"/>
      <c r="L170" s="73"/>
      <c r="M170" s="73"/>
      <c r="N170" s="73"/>
      <c r="O170" s="73"/>
      <c r="P170" s="73"/>
      <c r="Q170" s="73"/>
      <c r="R170" s="73"/>
      <c r="S170" s="73"/>
      <c r="T170" s="72"/>
      <c r="U170" s="99"/>
    </row>
    <row r="171" spans="2:21" x14ac:dyDescent="0.35">
      <c r="B171" s="47" t="str">
        <f>'3) Pre-Opening Budget'!B140</f>
        <v>Textbooks and Instructional Supplies</v>
      </c>
      <c r="C171" s="131"/>
      <c r="D171" s="97"/>
      <c r="E171" s="115">
        <f>'3) Pre-Opening Budget'!E140</f>
        <v>0</v>
      </c>
      <c r="F171" s="87">
        <f>$E171/12</f>
        <v>0</v>
      </c>
      <c r="G171" s="87">
        <f t="shared" ref="G171:Q185" si="57">$E171/12</f>
        <v>0</v>
      </c>
      <c r="H171" s="87">
        <f t="shared" si="57"/>
        <v>0</v>
      </c>
      <c r="I171" s="87">
        <f t="shared" si="57"/>
        <v>0</v>
      </c>
      <c r="J171" s="87">
        <f t="shared" si="57"/>
        <v>0</v>
      </c>
      <c r="K171" s="87">
        <f t="shared" si="57"/>
        <v>0</v>
      </c>
      <c r="L171" s="87">
        <f t="shared" si="57"/>
        <v>0</v>
      </c>
      <c r="M171" s="87">
        <f t="shared" si="57"/>
        <v>0</v>
      </c>
      <c r="N171" s="87">
        <f t="shared" si="57"/>
        <v>0</v>
      </c>
      <c r="O171" s="87">
        <f t="shared" si="57"/>
        <v>0</v>
      </c>
      <c r="P171" s="87">
        <f t="shared" si="57"/>
        <v>0</v>
      </c>
      <c r="Q171" s="87">
        <f t="shared" si="57"/>
        <v>0</v>
      </c>
      <c r="R171" s="78">
        <f>SUM(F171:Q171)</f>
        <v>0</v>
      </c>
      <c r="S171" s="78">
        <f>E171-R171</f>
        <v>0</v>
      </c>
      <c r="T171" s="165"/>
      <c r="U171" s="99"/>
    </row>
    <row r="172" spans="2:21" x14ac:dyDescent="0.35">
      <c r="B172" s="47" t="str">
        <f>'3) Pre-Opening Budget'!B141</f>
        <v>Education Software</v>
      </c>
      <c r="C172" s="131"/>
      <c r="D172" s="97"/>
      <c r="E172" s="115">
        <f>'3) Pre-Opening Budget'!E141</f>
        <v>0</v>
      </c>
      <c r="F172" s="87">
        <f t="shared" ref="F172:F185" si="58">$E172/12</f>
        <v>0</v>
      </c>
      <c r="G172" s="87">
        <f t="shared" si="57"/>
        <v>0</v>
      </c>
      <c r="H172" s="87">
        <f t="shared" si="57"/>
        <v>0</v>
      </c>
      <c r="I172" s="87">
        <f t="shared" si="57"/>
        <v>0</v>
      </c>
      <c r="J172" s="87">
        <f t="shared" si="57"/>
        <v>0</v>
      </c>
      <c r="K172" s="87">
        <f t="shared" si="57"/>
        <v>0</v>
      </c>
      <c r="L172" s="87">
        <f t="shared" si="57"/>
        <v>0</v>
      </c>
      <c r="M172" s="87">
        <f t="shared" si="57"/>
        <v>0</v>
      </c>
      <c r="N172" s="87">
        <f t="shared" si="57"/>
        <v>0</v>
      </c>
      <c r="O172" s="87">
        <f t="shared" si="57"/>
        <v>0</v>
      </c>
      <c r="P172" s="87">
        <f t="shared" si="57"/>
        <v>0</v>
      </c>
      <c r="Q172" s="87">
        <f t="shared" si="57"/>
        <v>0</v>
      </c>
      <c r="R172" s="78">
        <f>SUM(F172:Q172)</f>
        <v>0</v>
      </c>
      <c r="S172" s="78">
        <f>E172-R172</f>
        <v>0</v>
      </c>
      <c r="T172" s="165"/>
      <c r="U172" s="99"/>
    </row>
    <row r="173" spans="2:21" x14ac:dyDescent="0.35">
      <c r="B173" s="47" t="str">
        <f>'3) Pre-Opening Budget'!B142</f>
        <v>Student Supplies</v>
      </c>
      <c r="C173" s="131"/>
      <c r="D173" s="97"/>
      <c r="E173" s="115">
        <f>'3) Pre-Opening Budget'!E142</f>
        <v>0</v>
      </c>
      <c r="F173" s="87">
        <f t="shared" si="58"/>
        <v>0</v>
      </c>
      <c r="G173" s="87">
        <f t="shared" si="57"/>
        <v>0</v>
      </c>
      <c r="H173" s="87">
        <f t="shared" si="57"/>
        <v>0</v>
      </c>
      <c r="I173" s="87">
        <f t="shared" si="57"/>
        <v>0</v>
      </c>
      <c r="J173" s="87">
        <f t="shared" si="57"/>
        <v>0</v>
      </c>
      <c r="K173" s="87">
        <f t="shared" si="57"/>
        <v>0</v>
      </c>
      <c r="L173" s="87">
        <f t="shared" si="57"/>
        <v>0</v>
      </c>
      <c r="M173" s="87">
        <f t="shared" si="57"/>
        <v>0</v>
      </c>
      <c r="N173" s="87">
        <f t="shared" si="57"/>
        <v>0</v>
      </c>
      <c r="O173" s="87">
        <f t="shared" si="57"/>
        <v>0</v>
      </c>
      <c r="P173" s="87">
        <f t="shared" si="57"/>
        <v>0</v>
      </c>
      <c r="Q173" s="87">
        <f t="shared" si="57"/>
        <v>0</v>
      </c>
      <c r="R173" s="78">
        <f>SUM(F173:Q173)</f>
        <v>0</v>
      </c>
      <c r="S173" s="78">
        <f>E173-R173</f>
        <v>0</v>
      </c>
      <c r="T173" s="165"/>
      <c r="U173" s="99"/>
    </row>
    <row r="174" spans="2:21" x14ac:dyDescent="0.35">
      <c r="B174" s="47" t="str">
        <f>'3) Pre-Opening Budget'!B143</f>
        <v>Faculty Supplies</v>
      </c>
      <c r="C174" s="131"/>
      <c r="D174" s="97"/>
      <c r="E174" s="115">
        <f>'3) Pre-Opening Budget'!E143</f>
        <v>0</v>
      </c>
      <c r="F174" s="87">
        <f t="shared" si="58"/>
        <v>0</v>
      </c>
      <c r="G174" s="87">
        <f t="shared" si="57"/>
        <v>0</v>
      </c>
      <c r="H174" s="87">
        <f t="shared" si="57"/>
        <v>0</v>
      </c>
      <c r="I174" s="87">
        <f t="shared" si="57"/>
        <v>0</v>
      </c>
      <c r="J174" s="87">
        <f t="shared" si="57"/>
        <v>0</v>
      </c>
      <c r="K174" s="87">
        <f t="shared" si="57"/>
        <v>0</v>
      </c>
      <c r="L174" s="87">
        <f t="shared" si="57"/>
        <v>0</v>
      </c>
      <c r="M174" s="87">
        <f t="shared" si="57"/>
        <v>0</v>
      </c>
      <c r="N174" s="87">
        <f t="shared" si="57"/>
        <v>0</v>
      </c>
      <c r="O174" s="87">
        <f t="shared" si="57"/>
        <v>0</v>
      </c>
      <c r="P174" s="87">
        <f t="shared" si="57"/>
        <v>0</v>
      </c>
      <c r="Q174" s="87">
        <f t="shared" si="57"/>
        <v>0</v>
      </c>
      <c r="R174" s="78">
        <f t="shared" ref="R174:R180" si="59">SUM(F174:Q174)</f>
        <v>0</v>
      </c>
      <c r="S174" s="78">
        <f t="shared" ref="S174:S180" si="60">E174-R174</f>
        <v>0</v>
      </c>
      <c r="T174" s="165"/>
      <c r="U174" s="99"/>
    </row>
    <row r="175" spans="2:21" x14ac:dyDescent="0.35">
      <c r="B175" s="47" t="str">
        <f>'3) Pre-Opening Budget'!B144</f>
        <v>Library Books</v>
      </c>
      <c r="C175" s="131"/>
      <c r="D175" s="97"/>
      <c r="E175" s="115">
        <f>'3) Pre-Opening Budget'!E144</f>
        <v>0</v>
      </c>
      <c r="F175" s="87">
        <f t="shared" si="58"/>
        <v>0</v>
      </c>
      <c r="G175" s="87">
        <f t="shared" si="57"/>
        <v>0</v>
      </c>
      <c r="H175" s="87">
        <f t="shared" si="57"/>
        <v>0</v>
      </c>
      <c r="I175" s="87">
        <f t="shared" si="57"/>
        <v>0</v>
      </c>
      <c r="J175" s="87">
        <f t="shared" si="57"/>
        <v>0</v>
      </c>
      <c r="K175" s="87">
        <f t="shared" si="57"/>
        <v>0</v>
      </c>
      <c r="L175" s="87">
        <f t="shared" si="57"/>
        <v>0</v>
      </c>
      <c r="M175" s="87">
        <f t="shared" si="57"/>
        <v>0</v>
      </c>
      <c r="N175" s="87">
        <f t="shared" si="57"/>
        <v>0</v>
      </c>
      <c r="O175" s="87">
        <f t="shared" si="57"/>
        <v>0</v>
      </c>
      <c r="P175" s="87">
        <f t="shared" si="57"/>
        <v>0</v>
      </c>
      <c r="Q175" s="87">
        <f t="shared" si="57"/>
        <v>0</v>
      </c>
      <c r="R175" s="78">
        <f t="shared" si="59"/>
        <v>0</v>
      </c>
      <c r="S175" s="78">
        <f t="shared" si="60"/>
        <v>0</v>
      </c>
      <c r="T175" s="165"/>
      <c r="U175" s="99"/>
    </row>
    <row r="176" spans="2:21" x14ac:dyDescent="0.35">
      <c r="B176" s="47" t="str">
        <f>'3) Pre-Opening Budget'!B145</f>
        <v>Testing &amp; Evaluation</v>
      </c>
      <c r="C176" s="131"/>
      <c r="D176" s="97"/>
      <c r="E176" s="115">
        <f>'3) Pre-Opening Budget'!E145</f>
        <v>4500</v>
      </c>
      <c r="F176" s="87">
        <v>0</v>
      </c>
      <c r="G176" s="87">
        <v>0</v>
      </c>
      <c r="H176" s="87">
        <f>E176</f>
        <v>4500</v>
      </c>
      <c r="I176" s="87">
        <v>0</v>
      </c>
      <c r="J176" s="87">
        <v>0</v>
      </c>
      <c r="K176" s="87">
        <v>0</v>
      </c>
      <c r="L176" s="87">
        <v>0</v>
      </c>
      <c r="M176" s="87">
        <v>0</v>
      </c>
      <c r="N176" s="87">
        <v>0</v>
      </c>
      <c r="O176" s="87">
        <v>0</v>
      </c>
      <c r="P176" s="87">
        <v>0</v>
      </c>
      <c r="Q176" s="87">
        <v>0</v>
      </c>
      <c r="R176" s="78">
        <f t="shared" si="59"/>
        <v>4500</v>
      </c>
      <c r="S176" s="78">
        <f t="shared" si="60"/>
        <v>0</v>
      </c>
      <c r="T176" s="165" t="s">
        <v>409</v>
      </c>
      <c r="U176" s="99"/>
    </row>
    <row r="177" spans="2:21" x14ac:dyDescent="0.35">
      <c r="B177" s="47" t="str">
        <f>'3) Pre-Opening Budget'!B146</f>
        <v>Student Laptops</v>
      </c>
      <c r="C177" s="131"/>
      <c r="D177" s="97"/>
      <c r="E177" s="115">
        <f>'3) Pre-Opening Budget'!E146</f>
        <v>0</v>
      </c>
      <c r="F177" s="87">
        <f t="shared" si="58"/>
        <v>0</v>
      </c>
      <c r="G177" s="87">
        <f t="shared" si="57"/>
        <v>0</v>
      </c>
      <c r="H177" s="87">
        <f t="shared" si="57"/>
        <v>0</v>
      </c>
      <c r="I177" s="87">
        <f t="shared" si="57"/>
        <v>0</v>
      </c>
      <c r="J177" s="87">
        <f t="shared" si="57"/>
        <v>0</v>
      </c>
      <c r="K177" s="87">
        <f t="shared" si="57"/>
        <v>0</v>
      </c>
      <c r="L177" s="87">
        <f t="shared" si="57"/>
        <v>0</v>
      </c>
      <c r="M177" s="87">
        <f t="shared" si="57"/>
        <v>0</v>
      </c>
      <c r="N177" s="87">
        <f t="shared" si="57"/>
        <v>0</v>
      </c>
      <c r="O177" s="87">
        <f t="shared" si="57"/>
        <v>0</v>
      </c>
      <c r="P177" s="87">
        <f t="shared" si="57"/>
        <v>0</v>
      </c>
      <c r="Q177" s="87">
        <f t="shared" si="57"/>
        <v>0</v>
      </c>
      <c r="R177" s="78">
        <f t="shared" si="59"/>
        <v>0</v>
      </c>
      <c r="S177" s="78">
        <f t="shared" si="60"/>
        <v>0</v>
      </c>
      <c r="T177" s="165"/>
      <c r="U177" s="99"/>
    </row>
    <row r="178" spans="2:21" x14ac:dyDescent="0.35">
      <c r="B178" s="47" t="str">
        <f>'3) Pre-Opening Budget'!B147</f>
        <v>Faculty Laptops</v>
      </c>
      <c r="C178" s="131"/>
      <c r="D178" s="97"/>
      <c r="E178" s="115">
        <f>'3) Pre-Opening Budget'!E147</f>
        <v>1800</v>
      </c>
      <c r="F178" s="87">
        <v>0</v>
      </c>
      <c r="G178" s="87">
        <v>0</v>
      </c>
      <c r="H178" s="87">
        <f>E178</f>
        <v>1800</v>
      </c>
      <c r="I178" s="87">
        <v>0</v>
      </c>
      <c r="J178" s="87">
        <v>0</v>
      </c>
      <c r="K178" s="87">
        <v>0</v>
      </c>
      <c r="L178" s="87">
        <v>0</v>
      </c>
      <c r="M178" s="87">
        <v>0</v>
      </c>
      <c r="N178" s="87">
        <v>0</v>
      </c>
      <c r="O178" s="87">
        <v>0</v>
      </c>
      <c r="P178" s="87">
        <v>0</v>
      </c>
      <c r="Q178" s="87">
        <v>0</v>
      </c>
      <c r="R178" s="78">
        <f t="shared" si="59"/>
        <v>1800</v>
      </c>
      <c r="S178" s="78">
        <f t="shared" si="60"/>
        <v>0</v>
      </c>
      <c r="T178" s="165" t="s">
        <v>410</v>
      </c>
      <c r="U178" s="99"/>
    </row>
    <row r="179" spans="2:21" x14ac:dyDescent="0.35">
      <c r="B179" s="47" t="str">
        <f>'3) Pre-Opening Budget'!B148</f>
        <v>Office Supplies</v>
      </c>
      <c r="C179" s="131"/>
      <c r="D179" s="97"/>
      <c r="E179" s="115">
        <f>'3) Pre-Opening Budget'!E148</f>
        <v>1200</v>
      </c>
      <c r="F179" s="87">
        <v>0</v>
      </c>
      <c r="G179" s="87">
        <v>0</v>
      </c>
      <c r="H179" s="87">
        <f t="shared" ref="H179:Q179" si="61">$E179/10</f>
        <v>120</v>
      </c>
      <c r="I179" s="87">
        <f t="shared" si="61"/>
        <v>120</v>
      </c>
      <c r="J179" s="87">
        <f t="shared" si="61"/>
        <v>120</v>
      </c>
      <c r="K179" s="87">
        <f t="shared" si="61"/>
        <v>120</v>
      </c>
      <c r="L179" s="87">
        <f t="shared" si="61"/>
        <v>120</v>
      </c>
      <c r="M179" s="87">
        <f t="shared" si="61"/>
        <v>120</v>
      </c>
      <c r="N179" s="87">
        <f t="shared" si="61"/>
        <v>120</v>
      </c>
      <c r="O179" s="87">
        <f t="shared" si="61"/>
        <v>120</v>
      </c>
      <c r="P179" s="87">
        <f t="shared" si="61"/>
        <v>120</v>
      </c>
      <c r="Q179" s="87">
        <f t="shared" si="61"/>
        <v>120</v>
      </c>
      <c r="R179" s="78">
        <f t="shared" si="59"/>
        <v>1200</v>
      </c>
      <c r="S179" s="78">
        <f t="shared" si="60"/>
        <v>0</v>
      </c>
      <c r="T179" s="261" t="s">
        <v>411</v>
      </c>
      <c r="U179" s="99"/>
    </row>
    <row r="180" spans="2:21" ht="29" x14ac:dyDescent="0.35">
      <c r="B180" s="47" t="str">
        <f>'3) Pre-Opening Budget'!B149</f>
        <v>Printing Paper</v>
      </c>
      <c r="C180" s="131"/>
      <c r="D180" s="97"/>
      <c r="E180" s="115">
        <f>'3) Pre-Opening Budget'!E149</f>
        <v>400</v>
      </c>
      <c r="F180" s="87">
        <v>0</v>
      </c>
      <c r="G180" s="87">
        <v>0</v>
      </c>
      <c r="H180" s="87">
        <f t="shared" ref="H180:Q180" si="62">$E180/10</f>
        <v>40</v>
      </c>
      <c r="I180" s="87">
        <f t="shared" si="62"/>
        <v>40</v>
      </c>
      <c r="J180" s="87">
        <f t="shared" si="62"/>
        <v>40</v>
      </c>
      <c r="K180" s="87">
        <f t="shared" si="62"/>
        <v>40</v>
      </c>
      <c r="L180" s="87">
        <f t="shared" si="62"/>
        <v>40</v>
      </c>
      <c r="M180" s="87">
        <f t="shared" si="62"/>
        <v>40</v>
      </c>
      <c r="N180" s="87">
        <f t="shared" si="62"/>
        <v>40</v>
      </c>
      <c r="O180" s="87">
        <f t="shared" si="62"/>
        <v>40</v>
      </c>
      <c r="P180" s="87">
        <f t="shared" si="62"/>
        <v>40</v>
      </c>
      <c r="Q180" s="87">
        <f t="shared" si="62"/>
        <v>40</v>
      </c>
      <c r="R180" s="78">
        <f t="shared" si="59"/>
        <v>400</v>
      </c>
      <c r="S180" s="78">
        <f t="shared" si="60"/>
        <v>0</v>
      </c>
      <c r="T180" s="261" t="s">
        <v>412</v>
      </c>
      <c r="U180" s="99"/>
    </row>
    <row r="181" spans="2:21" ht="29" x14ac:dyDescent="0.35">
      <c r="B181" s="47" t="str">
        <f>'3) Pre-Opening Budget'!B150</f>
        <v>Marketing Materials</v>
      </c>
      <c r="C181" s="131"/>
      <c r="D181" s="97"/>
      <c r="E181" s="115">
        <f>'3) Pre-Opening Budget'!E150</f>
        <v>5000</v>
      </c>
      <c r="F181" s="87">
        <v>0</v>
      </c>
      <c r="G181" s="87">
        <v>0</v>
      </c>
      <c r="H181" s="87">
        <f t="shared" ref="H181:Q181" si="63">$E181/10</f>
        <v>500</v>
      </c>
      <c r="I181" s="87">
        <f t="shared" si="63"/>
        <v>500</v>
      </c>
      <c r="J181" s="87">
        <f t="shared" si="63"/>
        <v>500</v>
      </c>
      <c r="K181" s="87">
        <f t="shared" si="63"/>
        <v>500</v>
      </c>
      <c r="L181" s="87">
        <f t="shared" si="63"/>
        <v>500</v>
      </c>
      <c r="M181" s="87">
        <f t="shared" si="63"/>
        <v>500</v>
      </c>
      <c r="N181" s="87">
        <f t="shared" si="63"/>
        <v>500</v>
      </c>
      <c r="O181" s="87">
        <f t="shared" si="63"/>
        <v>500</v>
      </c>
      <c r="P181" s="87">
        <f t="shared" si="63"/>
        <v>500</v>
      </c>
      <c r="Q181" s="87">
        <f t="shared" si="63"/>
        <v>500</v>
      </c>
      <c r="R181" s="78">
        <f>SUM(F181:Q181)</f>
        <v>5000</v>
      </c>
      <c r="S181" s="78">
        <f>E181-R181</f>
        <v>0</v>
      </c>
      <c r="T181" s="261" t="s">
        <v>413</v>
      </c>
      <c r="U181" s="99"/>
    </row>
    <row r="182" spans="2:21" x14ac:dyDescent="0.35">
      <c r="B182" s="47" t="str">
        <f>'3) Pre-Opening Budget'!B151</f>
        <v>Student Uniforms</v>
      </c>
      <c r="C182" s="131"/>
      <c r="D182" s="97"/>
      <c r="E182" s="115">
        <f>'3) Pre-Opening Budget'!E151</f>
        <v>0</v>
      </c>
      <c r="F182" s="87">
        <f t="shared" si="58"/>
        <v>0</v>
      </c>
      <c r="G182" s="87">
        <f t="shared" si="57"/>
        <v>0</v>
      </c>
      <c r="H182" s="87">
        <f t="shared" si="57"/>
        <v>0</v>
      </c>
      <c r="I182" s="87">
        <f t="shared" si="57"/>
        <v>0</v>
      </c>
      <c r="J182" s="87">
        <f t="shared" si="57"/>
        <v>0</v>
      </c>
      <c r="K182" s="87">
        <f t="shared" si="57"/>
        <v>0</v>
      </c>
      <c r="L182" s="87">
        <f t="shared" si="57"/>
        <v>0</v>
      </c>
      <c r="M182" s="87">
        <f t="shared" si="57"/>
        <v>0</v>
      </c>
      <c r="N182" s="87">
        <f t="shared" si="57"/>
        <v>0</v>
      </c>
      <c r="O182" s="87">
        <f t="shared" si="57"/>
        <v>0</v>
      </c>
      <c r="P182" s="87">
        <f t="shared" si="57"/>
        <v>0</v>
      </c>
      <c r="Q182" s="87">
        <f t="shared" si="57"/>
        <v>0</v>
      </c>
      <c r="R182" s="78">
        <f>SUM(F182:Q182)</f>
        <v>0</v>
      </c>
      <c r="S182" s="78">
        <f>E182-R182</f>
        <v>0</v>
      </c>
      <c r="T182" s="165"/>
      <c r="U182" s="99"/>
    </row>
    <row r="183" spans="2:21" x14ac:dyDescent="0.35">
      <c r="B183" s="47" t="str">
        <f>'3) Pre-Opening Budget'!B152</f>
        <v>Gifts &amp; Awards - Students</v>
      </c>
      <c r="C183" s="131"/>
      <c r="D183" s="97"/>
      <c r="E183" s="115">
        <f>'3) Pre-Opening Budget'!E152</f>
        <v>0</v>
      </c>
      <c r="F183" s="87">
        <f t="shared" si="58"/>
        <v>0</v>
      </c>
      <c r="G183" s="87">
        <f t="shared" si="57"/>
        <v>0</v>
      </c>
      <c r="H183" s="87">
        <f t="shared" si="57"/>
        <v>0</v>
      </c>
      <c r="I183" s="87">
        <f t="shared" si="57"/>
        <v>0</v>
      </c>
      <c r="J183" s="87">
        <f t="shared" si="57"/>
        <v>0</v>
      </c>
      <c r="K183" s="87">
        <f t="shared" si="57"/>
        <v>0</v>
      </c>
      <c r="L183" s="87">
        <f t="shared" si="57"/>
        <v>0</v>
      </c>
      <c r="M183" s="87">
        <f t="shared" si="57"/>
        <v>0</v>
      </c>
      <c r="N183" s="87">
        <f t="shared" si="57"/>
        <v>0</v>
      </c>
      <c r="O183" s="87">
        <f t="shared" si="57"/>
        <v>0</v>
      </c>
      <c r="P183" s="87">
        <f t="shared" si="57"/>
        <v>0</v>
      </c>
      <c r="Q183" s="87">
        <f t="shared" si="57"/>
        <v>0</v>
      </c>
      <c r="R183" s="78">
        <f>SUM(F183:Q183)</f>
        <v>0</v>
      </c>
      <c r="S183" s="78">
        <f>E183-R183</f>
        <v>0</v>
      </c>
      <c r="T183" s="165"/>
      <c r="U183" s="99"/>
    </row>
    <row r="184" spans="2:21" x14ac:dyDescent="0.35">
      <c r="B184" s="47" t="str">
        <f>'3) Pre-Opening Budget'!B153</f>
        <v>Gifts &amp; Awards - Teachers and Staff</v>
      </c>
      <c r="C184" s="131"/>
      <c r="D184" s="97"/>
      <c r="E184" s="115">
        <f>'3) Pre-Opening Budget'!E153</f>
        <v>0</v>
      </c>
      <c r="F184" s="87">
        <f t="shared" si="58"/>
        <v>0</v>
      </c>
      <c r="G184" s="87">
        <f t="shared" si="57"/>
        <v>0</v>
      </c>
      <c r="H184" s="87">
        <f t="shared" si="57"/>
        <v>0</v>
      </c>
      <c r="I184" s="87">
        <f t="shared" si="57"/>
        <v>0</v>
      </c>
      <c r="J184" s="87">
        <f t="shared" si="57"/>
        <v>0</v>
      </c>
      <c r="K184" s="87">
        <f t="shared" si="57"/>
        <v>0</v>
      </c>
      <c r="L184" s="87">
        <f t="shared" si="57"/>
        <v>0</v>
      </c>
      <c r="M184" s="87">
        <f t="shared" si="57"/>
        <v>0</v>
      </c>
      <c r="N184" s="87">
        <f t="shared" si="57"/>
        <v>0</v>
      </c>
      <c r="O184" s="87">
        <f t="shared" si="57"/>
        <v>0</v>
      </c>
      <c r="P184" s="87">
        <f t="shared" si="57"/>
        <v>0</v>
      </c>
      <c r="Q184" s="87">
        <f t="shared" si="57"/>
        <v>0</v>
      </c>
      <c r="R184" s="78">
        <f>SUM(F184:Q184)</f>
        <v>0</v>
      </c>
      <c r="S184" s="78">
        <f>E184-R184</f>
        <v>0</v>
      </c>
      <c r="T184" s="165"/>
      <c r="U184" s="99"/>
    </row>
    <row r="185" spans="2:21" x14ac:dyDescent="0.35">
      <c r="B185" s="47" t="str">
        <f>'3) Pre-Opening Budget'!B154</f>
        <v>Health Supplies</v>
      </c>
      <c r="C185" s="131"/>
      <c r="D185" s="97"/>
      <c r="E185" s="115">
        <f>'3) Pre-Opening Budget'!E154</f>
        <v>0</v>
      </c>
      <c r="F185" s="87">
        <f t="shared" si="58"/>
        <v>0</v>
      </c>
      <c r="G185" s="87">
        <f t="shared" si="57"/>
        <v>0</v>
      </c>
      <c r="H185" s="87">
        <f t="shared" si="57"/>
        <v>0</v>
      </c>
      <c r="I185" s="87">
        <f t="shared" si="57"/>
        <v>0</v>
      </c>
      <c r="J185" s="87">
        <f t="shared" si="57"/>
        <v>0</v>
      </c>
      <c r="K185" s="87">
        <f t="shared" si="57"/>
        <v>0</v>
      </c>
      <c r="L185" s="87">
        <f t="shared" si="57"/>
        <v>0</v>
      </c>
      <c r="M185" s="87">
        <f t="shared" si="57"/>
        <v>0</v>
      </c>
      <c r="N185" s="87">
        <f t="shared" si="57"/>
        <v>0</v>
      </c>
      <c r="O185" s="87">
        <f t="shared" si="57"/>
        <v>0</v>
      </c>
      <c r="P185" s="87">
        <f t="shared" si="57"/>
        <v>0</v>
      </c>
      <c r="Q185" s="87">
        <f t="shared" si="57"/>
        <v>0</v>
      </c>
      <c r="R185" s="78">
        <f>SUM(F185:Q185)</f>
        <v>0</v>
      </c>
      <c r="S185" s="78">
        <f>E185-R185</f>
        <v>0</v>
      </c>
      <c r="T185" s="165"/>
      <c r="U185" s="99"/>
    </row>
    <row r="186" spans="2:21" ht="15" thickBot="1" x14ac:dyDescent="0.4">
      <c r="B186" s="226"/>
      <c r="C186" s="228"/>
      <c r="D186" s="203"/>
      <c r="E186" s="205"/>
      <c r="F186" s="204"/>
      <c r="G186" s="204"/>
      <c r="H186" s="204"/>
      <c r="I186" s="204"/>
      <c r="J186" s="204"/>
      <c r="K186" s="204"/>
      <c r="L186" s="204"/>
      <c r="M186" s="204"/>
      <c r="N186" s="204"/>
      <c r="O186" s="204"/>
      <c r="P186" s="204"/>
      <c r="Q186" s="204"/>
      <c r="R186" s="204"/>
      <c r="S186" s="204"/>
      <c r="T186" s="205"/>
      <c r="U186" s="134"/>
    </row>
    <row r="187" spans="2:21" x14ac:dyDescent="0.35">
      <c r="B187" s="227" t="s">
        <v>127</v>
      </c>
      <c r="C187" s="229"/>
      <c r="D187" s="208"/>
      <c r="E187" s="210"/>
      <c r="F187" s="209"/>
      <c r="G187" s="209"/>
      <c r="H187" s="209"/>
      <c r="I187" s="209"/>
      <c r="J187" s="209"/>
      <c r="K187" s="209"/>
      <c r="L187" s="209"/>
      <c r="M187" s="209"/>
      <c r="N187" s="209"/>
      <c r="O187" s="209"/>
      <c r="P187" s="209"/>
      <c r="Q187" s="209"/>
      <c r="R187" s="209"/>
      <c r="S187" s="209"/>
      <c r="T187" s="210"/>
      <c r="U187" s="95"/>
    </row>
    <row r="188" spans="2:21" x14ac:dyDescent="0.35">
      <c r="B188" s="47" t="str">
        <f>'3) Pre-Opening Budget'!B157</f>
        <v>Rent</v>
      </c>
      <c r="C188" s="131"/>
      <c r="D188" s="97"/>
      <c r="E188" s="115">
        <f>'3) Pre-Opening Budget'!E157</f>
        <v>12500</v>
      </c>
      <c r="F188" s="87">
        <v>0</v>
      </c>
      <c r="G188" s="87">
        <v>0</v>
      </c>
      <c r="H188" s="87">
        <v>0</v>
      </c>
      <c r="I188" s="87">
        <v>0</v>
      </c>
      <c r="J188" s="87">
        <v>0</v>
      </c>
      <c r="K188" s="87">
        <v>0</v>
      </c>
      <c r="L188" s="87">
        <v>0</v>
      </c>
      <c r="M188" s="87">
        <v>0</v>
      </c>
      <c r="N188" s="87">
        <v>0</v>
      </c>
      <c r="O188" s="87">
        <f t="shared" ref="O188:Q189" si="64">$E188/3</f>
        <v>4166.666666666667</v>
      </c>
      <c r="P188" s="87">
        <f t="shared" si="64"/>
        <v>4166.666666666667</v>
      </c>
      <c r="Q188" s="87">
        <f t="shared" si="64"/>
        <v>4166.666666666667</v>
      </c>
      <c r="R188" s="78">
        <f>SUM(F188:Q188)</f>
        <v>12500</v>
      </c>
      <c r="S188" s="78">
        <f>E188-R188</f>
        <v>0</v>
      </c>
      <c r="T188" s="165" t="s">
        <v>414</v>
      </c>
      <c r="U188" s="99"/>
    </row>
    <row r="189" spans="2:21" x14ac:dyDescent="0.35">
      <c r="B189" s="47" t="str">
        <f>'3) Pre-Opening Budget'!B158</f>
        <v>Utilities</v>
      </c>
      <c r="C189" s="131"/>
      <c r="D189" s="97"/>
      <c r="E189" s="115">
        <f>'3) Pre-Opening Budget'!E158</f>
        <v>5000</v>
      </c>
      <c r="F189" s="87">
        <v>0</v>
      </c>
      <c r="G189" s="87">
        <v>0</v>
      </c>
      <c r="H189" s="87">
        <v>0</v>
      </c>
      <c r="I189" s="87">
        <v>0</v>
      </c>
      <c r="J189" s="87">
        <v>0</v>
      </c>
      <c r="K189" s="87">
        <v>0</v>
      </c>
      <c r="L189" s="87">
        <v>0</v>
      </c>
      <c r="M189" s="87">
        <v>0</v>
      </c>
      <c r="N189" s="87">
        <v>0</v>
      </c>
      <c r="O189" s="87">
        <f t="shared" si="64"/>
        <v>1666.6666666666667</v>
      </c>
      <c r="P189" s="87">
        <f t="shared" si="64"/>
        <v>1666.6666666666667</v>
      </c>
      <c r="Q189" s="87">
        <f t="shared" si="64"/>
        <v>1666.6666666666667</v>
      </c>
      <c r="R189" s="78">
        <f>SUM(F189:Q189)</f>
        <v>5000</v>
      </c>
      <c r="S189" s="78">
        <f>E189-R189</f>
        <v>0</v>
      </c>
      <c r="T189" s="165" t="s">
        <v>415</v>
      </c>
      <c r="U189" s="99"/>
    </row>
    <row r="190" spans="2:21" x14ac:dyDescent="0.35">
      <c r="B190" s="47" t="str">
        <f>'3) Pre-Opening Budget'!B159</f>
        <v xml:space="preserve">Custodial </v>
      </c>
      <c r="C190" s="131"/>
      <c r="D190" s="97"/>
      <c r="E190" s="115">
        <f>'3) Pre-Opening Budget'!E159</f>
        <v>0</v>
      </c>
      <c r="F190" s="87">
        <f t="shared" ref="F190:F202" si="65">$E190/12</f>
        <v>0</v>
      </c>
      <c r="G190" s="87">
        <f t="shared" ref="G190:Q202" si="66">$E190/12</f>
        <v>0</v>
      </c>
      <c r="H190" s="87">
        <f t="shared" si="66"/>
        <v>0</v>
      </c>
      <c r="I190" s="87">
        <f t="shared" si="66"/>
        <v>0</v>
      </c>
      <c r="J190" s="87">
        <f t="shared" si="66"/>
        <v>0</v>
      </c>
      <c r="K190" s="87">
        <f t="shared" si="66"/>
        <v>0</v>
      </c>
      <c r="L190" s="87">
        <f t="shared" si="66"/>
        <v>0</v>
      </c>
      <c r="M190" s="87">
        <f t="shared" si="66"/>
        <v>0</v>
      </c>
      <c r="N190" s="87">
        <f t="shared" si="66"/>
        <v>0</v>
      </c>
      <c r="O190" s="87">
        <f t="shared" si="66"/>
        <v>0</v>
      </c>
      <c r="P190" s="87">
        <f t="shared" si="66"/>
        <v>0</v>
      </c>
      <c r="Q190" s="87">
        <f t="shared" si="66"/>
        <v>0</v>
      </c>
      <c r="R190" s="78">
        <f>SUM(F190:Q190)</f>
        <v>0</v>
      </c>
      <c r="S190" s="78">
        <f>E190-R190</f>
        <v>0</v>
      </c>
      <c r="T190" s="165"/>
      <c r="U190" s="99"/>
    </row>
    <row r="191" spans="2:21" x14ac:dyDescent="0.35">
      <c r="B191" s="47" t="str">
        <f>'3) Pre-Opening Budget'!B160</f>
        <v>Waste</v>
      </c>
      <c r="C191" s="131"/>
      <c r="D191" s="97"/>
      <c r="E191" s="115">
        <f>'3) Pre-Opening Budget'!E160</f>
        <v>0</v>
      </c>
      <c r="F191" s="87">
        <f t="shared" si="65"/>
        <v>0</v>
      </c>
      <c r="G191" s="87">
        <f t="shared" si="66"/>
        <v>0</v>
      </c>
      <c r="H191" s="87">
        <f t="shared" si="66"/>
        <v>0</v>
      </c>
      <c r="I191" s="87">
        <f t="shared" si="66"/>
        <v>0</v>
      </c>
      <c r="J191" s="87">
        <f t="shared" si="66"/>
        <v>0</v>
      </c>
      <c r="K191" s="87">
        <f t="shared" si="66"/>
        <v>0</v>
      </c>
      <c r="L191" s="87">
        <f t="shared" si="66"/>
        <v>0</v>
      </c>
      <c r="M191" s="87">
        <f t="shared" si="66"/>
        <v>0</v>
      </c>
      <c r="N191" s="87">
        <f t="shared" si="66"/>
        <v>0</v>
      </c>
      <c r="O191" s="87">
        <f t="shared" si="66"/>
        <v>0</v>
      </c>
      <c r="P191" s="87">
        <f t="shared" si="66"/>
        <v>0</v>
      </c>
      <c r="Q191" s="87">
        <f t="shared" si="66"/>
        <v>0</v>
      </c>
      <c r="R191" s="78">
        <f t="shared" ref="R191:R197" si="67">SUM(F191:Q191)</f>
        <v>0</v>
      </c>
      <c r="S191" s="78">
        <f t="shared" ref="S191:S197" si="68">E191-R191</f>
        <v>0</v>
      </c>
      <c r="T191" s="165"/>
      <c r="U191" s="99"/>
    </row>
    <row r="192" spans="2:21" x14ac:dyDescent="0.35">
      <c r="B192" s="47" t="str">
        <f>'3) Pre-Opening Budget'!B161</f>
        <v>Faculty Furniture</v>
      </c>
      <c r="C192" s="131"/>
      <c r="D192" s="97"/>
      <c r="E192" s="115">
        <f>'3) Pre-Opening Budget'!E161</f>
        <v>0</v>
      </c>
      <c r="F192" s="87">
        <f t="shared" si="65"/>
        <v>0</v>
      </c>
      <c r="G192" s="87">
        <f t="shared" si="66"/>
        <v>0</v>
      </c>
      <c r="H192" s="87">
        <f t="shared" si="66"/>
        <v>0</v>
      </c>
      <c r="I192" s="87">
        <f t="shared" si="66"/>
        <v>0</v>
      </c>
      <c r="J192" s="87">
        <f t="shared" si="66"/>
        <v>0</v>
      </c>
      <c r="K192" s="87">
        <f t="shared" si="66"/>
        <v>0</v>
      </c>
      <c r="L192" s="87">
        <f t="shared" si="66"/>
        <v>0</v>
      </c>
      <c r="M192" s="87">
        <f t="shared" si="66"/>
        <v>0</v>
      </c>
      <c r="N192" s="87">
        <f t="shared" si="66"/>
        <v>0</v>
      </c>
      <c r="O192" s="87">
        <f t="shared" si="66"/>
        <v>0</v>
      </c>
      <c r="P192" s="87">
        <f t="shared" si="66"/>
        <v>0</v>
      </c>
      <c r="Q192" s="87">
        <f t="shared" si="66"/>
        <v>0</v>
      </c>
      <c r="R192" s="78">
        <f t="shared" si="67"/>
        <v>0</v>
      </c>
      <c r="S192" s="78">
        <f t="shared" si="68"/>
        <v>0</v>
      </c>
      <c r="T192" s="165"/>
      <c r="U192" s="99"/>
    </row>
    <row r="193" spans="2:21" x14ac:dyDescent="0.35">
      <c r="B193" s="47" t="str">
        <f>'3) Pre-Opening Budget'!B162</f>
        <v>Student Furniture</v>
      </c>
      <c r="C193" s="131"/>
      <c r="D193" s="97"/>
      <c r="E193" s="115">
        <f>'3) Pre-Opening Budget'!E162</f>
        <v>0</v>
      </c>
      <c r="F193" s="87">
        <f t="shared" si="65"/>
        <v>0</v>
      </c>
      <c r="G193" s="87">
        <f t="shared" si="66"/>
        <v>0</v>
      </c>
      <c r="H193" s="87">
        <f t="shared" si="66"/>
        <v>0</v>
      </c>
      <c r="I193" s="87">
        <f t="shared" si="66"/>
        <v>0</v>
      </c>
      <c r="J193" s="87">
        <f t="shared" si="66"/>
        <v>0</v>
      </c>
      <c r="K193" s="87">
        <f t="shared" si="66"/>
        <v>0</v>
      </c>
      <c r="L193" s="87">
        <f t="shared" si="66"/>
        <v>0</v>
      </c>
      <c r="M193" s="87">
        <f t="shared" si="66"/>
        <v>0</v>
      </c>
      <c r="N193" s="87">
        <f t="shared" si="66"/>
        <v>0</v>
      </c>
      <c r="O193" s="87">
        <f t="shared" si="66"/>
        <v>0</v>
      </c>
      <c r="P193" s="87">
        <f t="shared" si="66"/>
        <v>0</v>
      </c>
      <c r="Q193" s="87">
        <f t="shared" si="66"/>
        <v>0</v>
      </c>
      <c r="R193" s="78">
        <f t="shared" si="67"/>
        <v>0</v>
      </c>
      <c r="S193" s="78">
        <f t="shared" si="68"/>
        <v>0</v>
      </c>
      <c r="T193" s="165"/>
      <c r="U193" s="99"/>
    </row>
    <row r="194" spans="2:21" x14ac:dyDescent="0.35">
      <c r="B194" s="47" t="str">
        <f>'3) Pre-Opening Budget'!B163</f>
        <v>Internet/Network Equipment</v>
      </c>
      <c r="C194" s="131"/>
      <c r="D194" s="97"/>
      <c r="E194" s="115">
        <f>'3) Pre-Opening Budget'!E163</f>
        <v>0</v>
      </c>
      <c r="F194" s="87">
        <f t="shared" si="65"/>
        <v>0</v>
      </c>
      <c r="G194" s="87">
        <f t="shared" si="66"/>
        <v>0</v>
      </c>
      <c r="H194" s="87">
        <f t="shared" si="66"/>
        <v>0</v>
      </c>
      <c r="I194" s="87">
        <f t="shared" si="66"/>
        <v>0</v>
      </c>
      <c r="J194" s="87">
        <f t="shared" si="66"/>
        <v>0</v>
      </c>
      <c r="K194" s="87">
        <f t="shared" si="66"/>
        <v>0</v>
      </c>
      <c r="L194" s="87">
        <f t="shared" si="66"/>
        <v>0</v>
      </c>
      <c r="M194" s="87">
        <f t="shared" si="66"/>
        <v>0</v>
      </c>
      <c r="N194" s="87">
        <f t="shared" si="66"/>
        <v>0</v>
      </c>
      <c r="O194" s="87">
        <f t="shared" si="66"/>
        <v>0</v>
      </c>
      <c r="P194" s="87">
        <f t="shared" si="66"/>
        <v>0</v>
      </c>
      <c r="Q194" s="87">
        <f t="shared" si="66"/>
        <v>0</v>
      </c>
      <c r="R194" s="78">
        <f t="shared" si="67"/>
        <v>0</v>
      </c>
      <c r="S194" s="78">
        <f t="shared" si="68"/>
        <v>0</v>
      </c>
      <c r="T194" s="165"/>
      <c r="U194" s="99"/>
    </row>
    <row r="195" spans="2:21" x14ac:dyDescent="0.35">
      <c r="B195" s="47" t="str">
        <f>'3) Pre-Opening Budget'!B164</f>
        <v>Other Equipment</v>
      </c>
      <c r="C195" s="131"/>
      <c r="D195" s="97"/>
      <c r="E195" s="115">
        <f>'3) Pre-Opening Budget'!E164</f>
        <v>0</v>
      </c>
      <c r="F195" s="87">
        <f t="shared" si="65"/>
        <v>0</v>
      </c>
      <c r="G195" s="87">
        <f t="shared" si="66"/>
        <v>0</v>
      </c>
      <c r="H195" s="87">
        <f t="shared" si="66"/>
        <v>0</v>
      </c>
      <c r="I195" s="87">
        <f t="shared" si="66"/>
        <v>0</v>
      </c>
      <c r="J195" s="87">
        <f t="shared" si="66"/>
        <v>0</v>
      </c>
      <c r="K195" s="87">
        <f t="shared" si="66"/>
        <v>0</v>
      </c>
      <c r="L195" s="87">
        <f t="shared" si="66"/>
        <v>0</v>
      </c>
      <c r="M195" s="87">
        <f t="shared" si="66"/>
        <v>0</v>
      </c>
      <c r="N195" s="87">
        <f t="shared" si="66"/>
        <v>0</v>
      </c>
      <c r="O195" s="87">
        <f t="shared" si="66"/>
        <v>0</v>
      </c>
      <c r="P195" s="87">
        <f t="shared" si="66"/>
        <v>0</v>
      </c>
      <c r="Q195" s="87">
        <f t="shared" si="66"/>
        <v>0</v>
      </c>
      <c r="R195" s="78">
        <f t="shared" si="67"/>
        <v>0</v>
      </c>
      <c r="S195" s="78">
        <f t="shared" si="68"/>
        <v>0</v>
      </c>
      <c r="T195" s="165"/>
      <c r="U195" s="99"/>
    </row>
    <row r="196" spans="2:21" x14ac:dyDescent="0.35">
      <c r="B196" s="47" t="str">
        <f>'3) Pre-Opening Budget'!B165</f>
        <v>Building Decorum</v>
      </c>
      <c r="C196" s="131"/>
      <c r="D196" s="97"/>
      <c r="E196" s="115">
        <f>'3) Pre-Opening Budget'!E165</f>
        <v>0</v>
      </c>
      <c r="F196" s="87">
        <f t="shared" si="65"/>
        <v>0</v>
      </c>
      <c r="G196" s="87">
        <f t="shared" si="66"/>
        <v>0</v>
      </c>
      <c r="H196" s="87">
        <f t="shared" si="66"/>
        <v>0</v>
      </c>
      <c r="I196" s="87">
        <f t="shared" si="66"/>
        <v>0</v>
      </c>
      <c r="J196" s="87">
        <f t="shared" si="66"/>
        <v>0</v>
      </c>
      <c r="K196" s="87">
        <f t="shared" si="66"/>
        <v>0</v>
      </c>
      <c r="L196" s="87">
        <f t="shared" si="66"/>
        <v>0</v>
      </c>
      <c r="M196" s="87">
        <f t="shared" si="66"/>
        <v>0</v>
      </c>
      <c r="N196" s="87">
        <f t="shared" si="66"/>
        <v>0</v>
      </c>
      <c r="O196" s="87">
        <f t="shared" si="66"/>
        <v>0</v>
      </c>
      <c r="P196" s="87">
        <f t="shared" si="66"/>
        <v>0</v>
      </c>
      <c r="Q196" s="87">
        <f t="shared" si="66"/>
        <v>0</v>
      </c>
      <c r="R196" s="78">
        <f t="shared" si="67"/>
        <v>0</v>
      </c>
      <c r="S196" s="78">
        <f t="shared" si="68"/>
        <v>0</v>
      </c>
      <c r="T196" s="165"/>
      <c r="U196" s="99"/>
    </row>
    <row r="197" spans="2:21" x14ac:dyDescent="0.35">
      <c r="B197" s="47" t="str">
        <f>'3) Pre-Opening Budget'!B166</f>
        <v>Tenant Improvements</v>
      </c>
      <c r="C197" s="131"/>
      <c r="D197" s="97"/>
      <c r="E197" s="115">
        <f>'3) Pre-Opening Budget'!E166</f>
        <v>48000</v>
      </c>
      <c r="F197" s="87">
        <v>0</v>
      </c>
      <c r="G197" s="87">
        <v>0</v>
      </c>
      <c r="H197" s="87">
        <v>0</v>
      </c>
      <c r="I197" s="87">
        <v>0</v>
      </c>
      <c r="J197" s="87">
        <v>0</v>
      </c>
      <c r="K197" s="87">
        <v>0</v>
      </c>
      <c r="L197" s="87">
        <v>0</v>
      </c>
      <c r="M197" s="87">
        <v>0</v>
      </c>
      <c r="N197" s="87">
        <v>0</v>
      </c>
      <c r="O197" s="87">
        <v>48000</v>
      </c>
      <c r="P197" s="87">
        <v>0</v>
      </c>
      <c r="Q197" s="87">
        <v>0</v>
      </c>
      <c r="R197" s="78">
        <f t="shared" si="67"/>
        <v>48000</v>
      </c>
      <c r="S197" s="78">
        <f t="shared" si="68"/>
        <v>0</v>
      </c>
      <c r="T197" s="165" t="s">
        <v>416</v>
      </c>
      <c r="U197" s="99"/>
    </row>
    <row r="198" spans="2:21" x14ac:dyDescent="0.35">
      <c r="B198" s="47" t="str">
        <f>'3) Pre-Opening Budget'!B167</f>
        <v>Other</v>
      </c>
      <c r="C198" s="131"/>
      <c r="D198" s="97"/>
      <c r="E198" s="115">
        <f>'3) Pre-Opening Budget'!E167</f>
        <v>0</v>
      </c>
      <c r="F198" s="87">
        <f t="shared" si="65"/>
        <v>0</v>
      </c>
      <c r="G198" s="87">
        <f t="shared" si="66"/>
        <v>0</v>
      </c>
      <c r="H198" s="87">
        <f t="shared" si="66"/>
        <v>0</v>
      </c>
      <c r="I198" s="87">
        <f t="shared" si="66"/>
        <v>0</v>
      </c>
      <c r="J198" s="87">
        <f t="shared" si="66"/>
        <v>0</v>
      </c>
      <c r="K198" s="87">
        <f t="shared" si="66"/>
        <v>0</v>
      </c>
      <c r="L198" s="87">
        <f t="shared" si="66"/>
        <v>0</v>
      </c>
      <c r="M198" s="87">
        <f t="shared" si="66"/>
        <v>0</v>
      </c>
      <c r="N198" s="87">
        <f t="shared" si="66"/>
        <v>0</v>
      </c>
      <c r="O198" s="87">
        <f t="shared" si="66"/>
        <v>0</v>
      </c>
      <c r="P198" s="87">
        <f t="shared" si="66"/>
        <v>0</v>
      </c>
      <c r="Q198" s="87">
        <f t="shared" si="66"/>
        <v>0</v>
      </c>
      <c r="R198" s="78">
        <f>SUM(F198:Q198)</f>
        <v>0</v>
      </c>
      <c r="S198" s="78">
        <f>E198-R198</f>
        <v>0</v>
      </c>
      <c r="T198" s="165" t="s">
        <v>112</v>
      </c>
      <c r="U198" s="99"/>
    </row>
    <row r="199" spans="2:21" x14ac:dyDescent="0.35">
      <c r="B199" s="47" t="str">
        <f>'3) Pre-Opening Budget'!B168</f>
        <v>Other</v>
      </c>
      <c r="C199" s="131"/>
      <c r="D199" s="97"/>
      <c r="E199" s="115">
        <f>'3) Pre-Opening Budget'!E168</f>
        <v>0</v>
      </c>
      <c r="F199" s="87">
        <f t="shared" si="65"/>
        <v>0</v>
      </c>
      <c r="G199" s="87">
        <f t="shared" si="66"/>
        <v>0</v>
      </c>
      <c r="H199" s="87">
        <f t="shared" si="66"/>
        <v>0</v>
      </c>
      <c r="I199" s="87">
        <f t="shared" si="66"/>
        <v>0</v>
      </c>
      <c r="J199" s="87">
        <f t="shared" si="66"/>
        <v>0</v>
      </c>
      <c r="K199" s="87">
        <f t="shared" si="66"/>
        <v>0</v>
      </c>
      <c r="L199" s="87">
        <f t="shared" si="66"/>
        <v>0</v>
      </c>
      <c r="M199" s="87">
        <f t="shared" si="66"/>
        <v>0</v>
      </c>
      <c r="N199" s="87">
        <f t="shared" si="66"/>
        <v>0</v>
      </c>
      <c r="O199" s="87">
        <f t="shared" si="66"/>
        <v>0</v>
      </c>
      <c r="P199" s="87">
        <f t="shared" si="66"/>
        <v>0</v>
      </c>
      <c r="Q199" s="87">
        <f t="shared" si="66"/>
        <v>0</v>
      </c>
      <c r="R199" s="78">
        <f>SUM(F199:Q199)</f>
        <v>0</v>
      </c>
      <c r="S199" s="78">
        <f>E199-R199</f>
        <v>0</v>
      </c>
      <c r="T199" s="165" t="s">
        <v>112</v>
      </c>
      <c r="U199" s="99"/>
    </row>
    <row r="200" spans="2:21" x14ac:dyDescent="0.35">
      <c r="B200" s="47" t="str">
        <f>'3) Pre-Opening Budget'!B169</f>
        <v>Other</v>
      </c>
      <c r="C200" s="131"/>
      <c r="D200" s="97"/>
      <c r="E200" s="115">
        <f>'3) Pre-Opening Budget'!E169</f>
        <v>0</v>
      </c>
      <c r="F200" s="87">
        <f t="shared" si="65"/>
        <v>0</v>
      </c>
      <c r="G200" s="87">
        <f t="shared" si="66"/>
        <v>0</v>
      </c>
      <c r="H200" s="87">
        <f t="shared" si="66"/>
        <v>0</v>
      </c>
      <c r="I200" s="87">
        <f t="shared" si="66"/>
        <v>0</v>
      </c>
      <c r="J200" s="87">
        <f t="shared" si="66"/>
        <v>0</v>
      </c>
      <c r="K200" s="87">
        <f t="shared" si="66"/>
        <v>0</v>
      </c>
      <c r="L200" s="87">
        <f t="shared" si="66"/>
        <v>0</v>
      </c>
      <c r="M200" s="87">
        <f t="shared" si="66"/>
        <v>0</v>
      </c>
      <c r="N200" s="87">
        <f t="shared" si="66"/>
        <v>0</v>
      </c>
      <c r="O200" s="87">
        <f t="shared" si="66"/>
        <v>0</v>
      </c>
      <c r="P200" s="87">
        <f t="shared" si="66"/>
        <v>0</v>
      </c>
      <c r="Q200" s="87">
        <f t="shared" si="66"/>
        <v>0</v>
      </c>
      <c r="R200" s="78">
        <f>SUM(F200:Q200)</f>
        <v>0</v>
      </c>
      <c r="S200" s="78">
        <f>E200-R200</f>
        <v>0</v>
      </c>
      <c r="T200" s="165" t="s">
        <v>112</v>
      </c>
      <c r="U200" s="99"/>
    </row>
    <row r="201" spans="2:21" x14ac:dyDescent="0.35">
      <c r="B201" s="47" t="str">
        <f>'3) Pre-Opening Budget'!B170</f>
        <v>Other</v>
      </c>
      <c r="C201" s="131"/>
      <c r="D201" s="97"/>
      <c r="E201" s="115">
        <f>'3) Pre-Opening Budget'!E170</f>
        <v>0</v>
      </c>
      <c r="F201" s="87">
        <f t="shared" si="65"/>
        <v>0</v>
      </c>
      <c r="G201" s="87">
        <f t="shared" si="66"/>
        <v>0</v>
      </c>
      <c r="H201" s="87">
        <f t="shared" si="66"/>
        <v>0</v>
      </c>
      <c r="I201" s="87">
        <f t="shared" si="66"/>
        <v>0</v>
      </c>
      <c r="J201" s="87">
        <f t="shared" si="66"/>
        <v>0</v>
      </c>
      <c r="K201" s="87">
        <f t="shared" si="66"/>
        <v>0</v>
      </c>
      <c r="L201" s="87">
        <f t="shared" si="66"/>
        <v>0</v>
      </c>
      <c r="M201" s="87">
        <f t="shared" si="66"/>
        <v>0</v>
      </c>
      <c r="N201" s="87">
        <f t="shared" si="66"/>
        <v>0</v>
      </c>
      <c r="O201" s="87">
        <f t="shared" si="66"/>
        <v>0</v>
      </c>
      <c r="P201" s="87">
        <f t="shared" si="66"/>
        <v>0</v>
      </c>
      <c r="Q201" s="87">
        <f t="shared" si="66"/>
        <v>0</v>
      </c>
      <c r="R201" s="78">
        <f>SUM(F201:Q201)</f>
        <v>0</v>
      </c>
      <c r="S201" s="78">
        <f>E201-R201</f>
        <v>0</v>
      </c>
      <c r="T201" s="165" t="s">
        <v>112</v>
      </c>
      <c r="U201" s="99"/>
    </row>
    <row r="202" spans="2:21" x14ac:dyDescent="0.35">
      <c r="B202" s="47" t="str">
        <f>'3) Pre-Opening Budget'!B171</f>
        <v>Other</v>
      </c>
      <c r="C202" s="131"/>
      <c r="D202" s="97"/>
      <c r="E202" s="115">
        <f>'3) Pre-Opening Budget'!E171</f>
        <v>0</v>
      </c>
      <c r="F202" s="87">
        <f t="shared" si="65"/>
        <v>0</v>
      </c>
      <c r="G202" s="87">
        <f t="shared" si="66"/>
        <v>0</v>
      </c>
      <c r="H202" s="87">
        <f t="shared" si="66"/>
        <v>0</v>
      </c>
      <c r="I202" s="87">
        <f t="shared" si="66"/>
        <v>0</v>
      </c>
      <c r="J202" s="87">
        <f t="shared" si="66"/>
        <v>0</v>
      </c>
      <c r="K202" s="87">
        <f t="shared" si="66"/>
        <v>0</v>
      </c>
      <c r="L202" s="87">
        <f t="shared" si="66"/>
        <v>0</v>
      </c>
      <c r="M202" s="87">
        <f t="shared" si="66"/>
        <v>0</v>
      </c>
      <c r="N202" s="87">
        <f t="shared" si="66"/>
        <v>0</v>
      </c>
      <c r="O202" s="87">
        <f t="shared" si="66"/>
        <v>0</v>
      </c>
      <c r="P202" s="87">
        <f t="shared" si="66"/>
        <v>0</v>
      </c>
      <c r="Q202" s="87">
        <f t="shared" si="66"/>
        <v>0</v>
      </c>
      <c r="R202" s="78">
        <f>SUM(F202:Q202)</f>
        <v>0</v>
      </c>
      <c r="S202" s="78">
        <f>E202-R202</f>
        <v>0</v>
      </c>
      <c r="T202" s="165" t="s">
        <v>112</v>
      </c>
      <c r="U202" s="99"/>
    </row>
    <row r="203" spans="2:21" x14ac:dyDescent="0.35">
      <c r="B203" s="123"/>
      <c r="C203" s="84"/>
      <c r="D203" s="58"/>
      <c r="E203" s="72"/>
      <c r="F203" s="73"/>
      <c r="G203" s="73"/>
      <c r="H203" s="73"/>
      <c r="I203" s="73"/>
      <c r="J203" s="73"/>
      <c r="K203" s="73"/>
      <c r="L203" s="73"/>
      <c r="M203" s="73"/>
      <c r="N203" s="73"/>
      <c r="O203" s="73"/>
      <c r="P203" s="73"/>
      <c r="Q203" s="73"/>
      <c r="R203" s="73"/>
      <c r="S203" s="73"/>
      <c r="T203" s="72"/>
      <c r="U203" s="99"/>
    </row>
    <row r="204" spans="2:21" x14ac:dyDescent="0.35">
      <c r="B204" s="123" t="s">
        <v>125</v>
      </c>
      <c r="C204" s="84"/>
      <c r="D204" s="58"/>
      <c r="E204" s="72"/>
      <c r="F204" s="73"/>
      <c r="G204" s="73"/>
      <c r="H204" s="73"/>
      <c r="I204" s="73"/>
      <c r="J204" s="73"/>
      <c r="K204" s="73"/>
      <c r="L204" s="73"/>
      <c r="M204" s="73"/>
      <c r="N204" s="73"/>
      <c r="O204" s="73"/>
      <c r="P204" s="73"/>
      <c r="Q204" s="73"/>
      <c r="R204" s="73"/>
      <c r="S204" s="73"/>
      <c r="T204" s="72"/>
      <c r="U204" s="99"/>
    </row>
    <row r="205" spans="2:21" x14ac:dyDescent="0.35">
      <c r="B205" s="47" t="str">
        <f>'3) Pre-Opening Budget'!B174</f>
        <v>Staff Recruitment</v>
      </c>
      <c r="C205" s="131"/>
      <c r="D205" s="97"/>
      <c r="E205" s="115">
        <f>'3) Pre-Opening Budget'!E174</f>
        <v>6000</v>
      </c>
      <c r="F205" s="87">
        <v>0</v>
      </c>
      <c r="G205" s="87">
        <v>0</v>
      </c>
      <c r="H205" s="87">
        <f t="shared" ref="H205:Q206" si="69">$E205/10</f>
        <v>600</v>
      </c>
      <c r="I205" s="87">
        <f t="shared" si="69"/>
        <v>600</v>
      </c>
      <c r="J205" s="87">
        <f t="shared" si="69"/>
        <v>600</v>
      </c>
      <c r="K205" s="87">
        <f t="shared" si="69"/>
        <v>600</v>
      </c>
      <c r="L205" s="87">
        <f t="shared" si="69"/>
        <v>600</v>
      </c>
      <c r="M205" s="87">
        <f t="shared" si="69"/>
        <v>600</v>
      </c>
      <c r="N205" s="87">
        <f t="shared" si="69"/>
        <v>600</v>
      </c>
      <c r="O205" s="87">
        <f t="shared" si="69"/>
        <v>600</v>
      </c>
      <c r="P205" s="87">
        <f t="shared" si="69"/>
        <v>600</v>
      </c>
      <c r="Q205" s="87">
        <f t="shared" si="69"/>
        <v>600</v>
      </c>
      <c r="R205" s="78">
        <f>SUM(F205:Q205)</f>
        <v>6000</v>
      </c>
      <c r="S205" s="78">
        <f>E205-R205</f>
        <v>0</v>
      </c>
      <c r="T205" s="165" t="s">
        <v>417</v>
      </c>
      <c r="U205" s="99"/>
    </row>
    <row r="206" spans="2:21" ht="29" x14ac:dyDescent="0.35">
      <c r="B206" s="47" t="str">
        <f>'3) Pre-Opening Budget'!B175</f>
        <v>Student Recruitment &amp; Community Engagement</v>
      </c>
      <c r="C206" s="131"/>
      <c r="D206" s="97"/>
      <c r="E206" s="115">
        <f>'3) Pre-Opening Budget'!E175</f>
        <v>6000</v>
      </c>
      <c r="F206" s="87">
        <v>0</v>
      </c>
      <c r="G206" s="87">
        <v>0</v>
      </c>
      <c r="H206" s="87">
        <f t="shared" si="69"/>
        <v>600</v>
      </c>
      <c r="I206" s="87">
        <f t="shared" si="69"/>
        <v>600</v>
      </c>
      <c r="J206" s="87">
        <f t="shared" si="69"/>
        <v>600</v>
      </c>
      <c r="K206" s="87">
        <f t="shared" si="69"/>
        <v>600</v>
      </c>
      <c r="L206" s="87">
        <f t="shared" si="69"/>
        <v>600</v>
      </c>
      <c r="M206" s="87">
        <f t="shared" si="69"/>
        <v>600</v>
      </c>
      <c r="N206" s="87">
        <f t="shared" si="69"/>
        <v>600</v>
      </c>
      <c r="O206" s="87">
        <f t="shared" si="69"/>
        <v>600</v>
      </c>
      <c r="P206" s="87">
        <f t="shared" si="69"/>
        <v>600</v>
      </c>
      <c r="Q206" s="87">
        <f t="shared" si="69"/>
        <v>600</v>
      </c>
      <c r="R206" s="78">
        <f>SUM(F206:Q206)</f>
        <v>6000</v>
      </c>
      <c r="S206" s="78">
        <f>E206-R206</f>
        <v>0</v>
      </c>
      <c r="T206" s="261" t="s">
        <v>418</v>
      </c>
      <c r="U206" s="99"/>
    </row>
    <row r="207" spans="2:21" x14ac:dyDescent="0.35">
      <c r="B207" s="47" t="str">
        <f>'3) Pre-Opening Budget'!B176</f>
        <v>Parent &amp; Staff Meetings</v>
      </c>
      <c r="C207" s="131"/>
      <c r="D207" s="97"/>
      <c r="E207" s="115">
        <f>'3) Pre-Opening Budget'!E176</f>
        <v>0</v>
      </c>
      <c r="F207" s="87">
        <f>$E207/12</f>
        <v>0</v>
      </c>
      <c r="G207" s="87">
        <f t="shared" ref="G207:Q209" si="70">$E207/12</f>
        <v>0</v>
      </c>
      <c r="H207" s="87">
        <f t="shared" si="70"/>
        <v>0</v>
      </c>
      <c r="I207" s="87">
        <f t="shared" si="70"/>
        <v>0</v>
      </c>
      <c r="J207" s="87">
        <f t="shared" si="70"/>
        <v>0</v>
      </c>
      <c r="K207" s="87">
        <f t="shared" si="70"/>
        <v>0</v>
      </c>
      <c r="L207" s="87">
        <f t="shared" si="70"/>
        <v>0</v>
      </c>
      <c r="M207" s="87">
        <f t="shared" si="70"/>
        <v>0</v>
      </c>
      <c r="N207" s="87">
        <f t="shared" si="70"/>
        <v>0</v>
      </c>
      <c r="O207" s="87">
        <f t="shared" si="70"/>
        <v>0</v>
      </c>
      <c r="P207" s="87">
        <f t="shared" si="70"/>
        <v>0</v>
      </c>
      <c r="Q207" s="87">
        <f t="shared" si="70"/>
        <v>0</v>
      </c>
      <c r="R207" s="78">
        <f>SUM(F207:Q207)</f>
        <v>0</v>
      </c>
      <c r="S207" s="78">
        <f>E207-R207</f>
        <v>0</v>
      </c>
      <c r="T207" s="165"/>
      <c r="U207" s="99"/>
    </row>
    <row r="208" spans="2:21" x14ac:dyDescent="0.35">
      <c r="B208" s="47" t="str">
        <f>'3) Pre-Opening Budget'!B177</f>
        <v>Authorizer Fee</v>
      </c>
      <c r="C208" s="131"/>
      <c r="D208" s="97"/>
      <c r="E208" s="115">
        <f>'3) Pre-Opening Budget'!E177</f>
        <v>0</v>
      </c>
      <c r="F208" s="87">
        <f>$E208/12</f>
        <v>0</v>
      </c>
      <c r="G208" s="87">
        <f t="shared" si="70"/>
        <v>0</v>
      </c>
      <c r="H208" s="87">
        <f t="shared" si="70"/>
        <v>0</v>
      </c>
      <c r="I208" s="87">
        <f t="shared" si="70"/>
        <v>0</v>
      </c>
      <c r="J208" s="87">
        <f t="shared" si="70"/>
        <v>0</v>
      </c>
      <c r="K208" s="87">
        <f t="shared" si="70"/>
        <v>0</v>
      </c>
      <c r="L208" s="87">
        <f t="shared" si="70"/>
        <v>0</v>
      </c>
      <c r="M208" s="87">
        <f t="shared" si="70"/>
        <v>0</v>
      </c>
      <c r="N208" s="87">
        <f t="shared" si="70"/>
        <v>0</v>
      </c>
      <c r="O208" s="87">
        <f t="shared" si="70"/>
        <v>0</v>
      </c>
      <c r="P208" s="87">
        <f t="shared" si="70"/>
        <v>0</v>
      </c>
      <c r="Q208" s="87">
        <f t="shared" si="70"/>
        <v>0</v>
      </c>
      <c r="R208" s="78">
        <f>SUM(F208:Q208)</f>
        <v>0</v>
      </c>
      <c r="S208" s="78">
        <f>E208-R208</f>
        <v>0</v>
      </c>
      <c r="T208" s="165"/>
      <c r="U208" s="99"/>
    </row>
    <row r="209" spans="2:21" x14ac:dyDescent="0.35">
      <c r="B209" s="47" t="str">
        <f>'3) Pre-Opening Budget'!B178</f>
        <v>Other</v>
      </c>
      <c r="C209" s="131"/>
      <c r="D209" s="97"/>
      <c r="E209" s="115">
        <f>'3) Pre-Opening Budget'!E178</f>
        <v>0</v>
      </c>
      <c r="F209" s="87">
        <v>0</v>
      </c>
      <c r="G209" s="87">
        <v>0</v>
      </c>
      <c r="H209" s="87">
        <f>E209</f>
        <v>0</v>
      </c>
      <c r="I209" s="87">
        <f t="shared" si="70"/>
        <v>0</v>
      </c>
      <c r="J209" s="87">
        <f t="shared" si="70"/>
        <v>0</v>
      </c>
      <c r="K209" s="87">
        <f t="shared" si="70"/>
        <v>0</v>
      </c>
      <c r="L209" s="87">
        <f t="shared" si="70"/>
        <v>0</v>
      </c>
      <c r="M209" s="87">
        <f t="shared" si="70"/>
        <v>0</v>
      </c>
      <c r="N209" s="87">
        <f t="shared" si="70"/>
        <v>0</v>
      </c>
      <c r="O209" s="87">
        <f t="shared" si="70"/>
        <v>0</v>
      </c>
      <c r="P209" s="87">
        <f t="shared" si="70"/>
        <v>0</v>
      </c>
      <c r="Q209" s="87">
        <f t="shared" si="70"/>
        <v>0</v>
      </c>
      <c r="R209" s="78">
        <f>SUM(F209:Q209)</f>
        <v>0</v>
      </c>
      <c r="S209" s="78">
        <f>E209-R209</f>
        <v>0</v>
      </c>
      <c r="T209" s="165"/>
      <c r="U209" s="99"/>
    </row>
    <row r="210" spans="2:21" x14ac:dyDescent="0.35">
      <c r="B210" s="123"/>
      <c r="C210" s="84"/>
      <c r="D210" s="58"/>
      <c r="E210" s="73"/>
      <c r="F210" s="73"/>
      <c r="G210" s="73"/>
      <c r="H210" s="73"/>
      <c r="I210" s="73"/>
      <c r="J210" s="73"/>
      <c r="K210" s="73"/>
      <c r="L210" s="73"/>
      <c r="M210" s="73"/>
      <c r="N210" s="73"/>
      <c r="O210" s="73"/>
      <c r="P210" s="73"/>
      <c r="Q210" s="73"/>
      <c r="R210" s="73"/>
      <c r="S210" s="73"/>
      <c r="T210" s="171"/>
      <c r="U210" s="99"/>
    </row>
    <row r="211" spans="2:21" x14ac:dyDescent="0.35">
      <c r="B211" s="123" t="s">
        <v>126</v>
      </c>
      <c r="C211" s="84"/>
      <c r="D211" s="58"/>
      <c r="E211" s="73"/>
      <c r="F211" s="73"/>
      <c r="G211" s="73"/>
      <c r="H211" s="73"/>
      <c r="I211" s="73"/>
      <c r="J211" s="73"/>
      <c r="K211" s="73"/>
      <c r="L211" s="73"/>
      <c r="M211" s="73"/>
      <c r="N211" s="73"/>
      <c r="O211" s="73"/>
      <c r="P211" s="73"/>
      <c r="Q211" s="73"/>
      <c r="R211" s="73"/>
      <c r="S211" s="73"/>
      <c r="T211" s="72"/>
      <c r="U211" s="99"/>
    </row>
    <row r="212" spans="2:21" x14ac:dyDescent="0.35">
      <c r="B212" s="47" t="str">
        <f>'3) Pre-Opening Budget'!B181</f>
        <v>Other</v>
      </c>
      <c r="C212" s="131"/>
      <c r="D212" s="97"/>
      <c r="E212" s="78">
        <f>'3) Pre-Opening Budget'!E181</f>
        <v>0</v>
      </c>
      <c r="F212" s="88">
        <f>$E212/12</f>
        <v>0</v>
      </c>
      <c r="G212" s="88">
        <f t="shared" ref="G212:Q216" si="71">$E212/12</f>
        <v>0</v>
      </c>
      <c r="H212" s="88">
        <f t="shared" si="71"/>
        <v>0</v>
      </c>
      <c r="I212" s="88">
        <f t="shared" si="71"/>
        <v>0</v>
      </c>
      <c r="J212" s="88">
        <f t="shared" si="71"/>
        <v>0</v>
      </c>
      <c r="K212" s="88">
        <f t="shared" si="71"/>
        <v>0</v>
      </c>
      <c r="L212" s="88">
        <f t="shared" si="71"/>
        <v>0</v>
      </c>
      <c r="M212" s="88">
        <f t="shared" si="71"/>
        <v>0</v>
      </c>
      <c r="N212" s="88">
        <f t="shared" si="71"/>
        <v>0</v>
      </c>
      <c r="O212" s="88">
        <f t="shared" si="71"/>
        <v>0</v>
      </c>
      <c r="P212" s="88">
        <f t="shared" si="71"/>
        <v>0</v>
      </c>
      <c r="Q212" s="88">
        <f t="shared" si="71"/>
        <v>0</v>
      </c>
      <c r="R212" s="78">
        <f>SUM(F212:Q212)</f>
        <v>0</v>
      </c>
      <c r="S212" s="78">
        <f>E212-R212</f>
        <v>0</v>
      </c>
      <c r="T212" s="165"/>
      <c r="U212" s="99"/>
    </row>
    <row r="213" spans="2:21" x14ac:dyDescent="0.35">
      <c r="B213" s="47" t="str">
        <f>'3) Pre-Opening Budget'!B182</f>
        <v>Other</v>
      </c>
      <c r="C213" s="131"/>
      <c r="D213" s="97"/>
      <c r="E213" s="78">
        <f>'3) Pre-Opening Budget'!E182</f>
        <v>0</v>
      </c>
      <c r="F213" s="88">
        <f>$E213/12</f>
        <v>0</v>
      </c>
      <c r="G213" s="88">
        <f t="shared" si="71"/>
        <v>0</v>
      </c>
      <c r="H213" s="88">
        <f t="shared" si="71"/>
        <v>0</v>
      </c>
      <c r="I213" s="88">
        <f t="shared" si="71"/>
        <v>0</v>
      </c>
      <c r="J213" s="88">
        <f t="shared" si="71"/>
        <v>0</v>
      </c>
      <c r="K213" s="88">
        <f t="shared" si="71"/>
        <v>0</v>
      </c>
      <c r="L213" s="88">
        <f t="shared" si="71"/>
        <v>0</v>
      </c>
      <c r="M213" s="88">
        <f t="shared" si="71"/>
        <v>0</v>
      </c>
      <c r="N213" s="88">
        <f t="shared" si="71"/>
        <v>0</v>
      </c>
      <c r="O213" s="88">
        <f t="shared" si="71"/>
        <v>0</v>
      </c>
      <c r="P213" s="88">
        <f t="shared" si="71"/>
        <v>0</v>
      </c>
      <c r="Q213" s="88">
        <f t="shared" si="71"/>
        <v>0</v>
      </c>
      <c r="R213" s="78">
        <f>SUM(F213:Q213)</f>
        <v>0</v>
      </c>
      <c r="S213" s="78">
        <f>E213-R213</f>
        <v>0</v>
      </c>
      <c r="T213" s="165"/>
      <c r="U213" s="99"/>
    </row>
    <row r="214" spans="2:21" x14ac:dyDescent="0.35">
      <c r="B214" s="47" t="str">
        <f>'3) Pre-Opening Budget'!B183</f>
        <v>Other</v>
      </c>
      <c r="C214" s="131"/>
      <c r="D214" s="97"/>
      <c r="E214" s="78">
        <f>'3) Pre-Opening Budget'!E183</f>
        <v>0</v>
      </c>
      <c r="F214" s="88">
        <f>$E214/12</f>
        <v>0</v>
      </c>
      <c r="G214" s="88">
        <f t="shared" si="71"/>
        <v>0</v>
      </c>
      <c r="H214" s="88">
        <f t="shared" si="71"/>
        <v>0</v>
      </c>
      <c r="I214" s="88">
        <f t="shared" si="71"/>
        <v>0</v>
      </c>
      <c r="J214" s="88">
        <f t="shared" si="71"/>
        <v>0</v>
      </c>
      <c r="K214" s="88">
        <f t="shared" si="71"/>
        <v>0</v>
      </c>
      <c r="L214" s="88">
        <f t="shared" si="71"/>
        <v>0</v>
      </c>
      <c r="M214" s="88">
        <f t="shared" si="71"/>
        <v>0</v>
      </c>
      <c r="N214" s="88">
        <f t="shared" si="71"/>
        <v>0</v>
      </c>
      <c r="O214" s="88">
        <f t="shared" si="71"/>
        <v>0</v>
      </c>
      <c r="P214" s="88">
        <f t="shared" si="71"/>
        <v>0</v>
      </c>
      <c r="Q214" s="88">
        <f t="shared" si="71"/>
        <v>0</v>
      </c>
      <c r="R214" s="78">
        <f>SUM(F214:Q214)</f>
        <v>0</v>
      </c>
      <c r="S214" s="78">
        <f>E214-R214</f>
        <v>0</v>
      </c>
      <c r="T214" s="165"/>
      <c r="U214" s="99"/>
    </row>
    <row r="215" spans="2:21" x14ac:dyDescent="0.35">
      <c r="B215" s="47" t="str">
        <f>'3) Pre-Opening Budget'!B184</f>
        <v>Other</v>
      </c>
      <c r="C215" s="131"/>
      <c r="D215" s="97"/>
      <c r="E215" s="78">
        <f>'3) Pre-Opening Budget'!E184</f>
        <v>0</v>
      </c>
      <c r="F215" s="88">
        <f>$E215/12</f>
        <v>0</v>
      </c>
      <c r="G215" s="88">
        <f t="shared" si="71"/>
        <v>0</v>
      </c>
      <c r="H215" s="88">
        <f t="shared" si="71"/>
        <v>0</v>
      </c>
      <c r="I215" s="88">
        <f t="shared" si="71"/>
        <v>0</v>
      </c>
      <c r="J215" s="88">
        <f t="shared" si="71"/>
        <v>0</v>
      </c>
      <c r="K215" s="88">
        <f t="shared" si="71"/>
        <v>0</v>
      </c>
      <c r="L215" s="88">
        <f t="shared" si="71"/>
        <v>0</v>
      </c>
      <c r="M215" s="88">
        <f t="shared" si="71"/>
        <v>0</v>
      </c>
      <c r="N215" s="88">
        <f t="shared" si="71"/>
        <v>0</v>
      </c>
      <c r="O215" s="88">
        <f t="shared" si="71"/>
        <v>0</v>
      </c>
      <c r="P215" s="88">
        <f t="shared" si="71"/>
        <v>0</v>
      </c>
      <c r="Q215" s="88">
        <f t="shared" si="71"/>
        <v>0</v>
      </c>
      <c r="R215" s="78">
        <f>SUM(F215:Q215)</f>
        <v>0</v>
      </c>
      <c r="S215" s="78">
        <f>E215-R215</f>
        <v>0</v>
      </c>
      <c r="T215" s="165"/>
      <c r="U215" s="99"/>
    </row>
    <row r="216" spans="2:21" x14ac:dyDescent="0.35">
      <c r="B216" s="47" t="str">
        <f>'3) Pre-Opening Budget'!B185</f>
        <v>Other</v>
      </c>
      <c r="C216" s="131"/>
      <c r="D216" s="97"/>
      <c r="E216" s="78">
        <f>'3) Pre-Opening Budget'!E185</f>
        <v>0</v>
      </c>
      <c r="F216" s="88">
        <f>$E216/12</f>
        <v>0</v>
      </c>
      <c r="G216" s="88">
        <f t="shared" si="71"/>
        <v>0</v>
      </c>
      <c r="H216" s="88">
        <f t="shared" si="71"/>
        <v>0</v>
      </c>
      <c r="I216" s="88">
        <f t="shared" si="71"/>
        <v>0</v>
      </c>
      <c r="J216" s="88">
        <f t="shared" si="71"/>
        <v>0</v>
      </c>
      <c r="K216" s="88">
        <f t="shared" si="71"/>
        <v>0</v>
      </c>
      <c r="L216" s="88">
        <f t="shared" si="71"/>
        <v>0</v>
      </c>
      <c r="M216" s="88">
        <f t="shared" si="71"/>
        <v>0</v>
      </c>
      <c r="N216" s="88">
        <f t="shared" si="71"/>
        <v>0</v>
      </c>
      <c r="O216" s="88">
        <f t="shared" si="71"/>
        <v>0</v>
      </c>
      <c r="P216" s="88">
        <f t="shared" si="71"/>
        <v>0</v>
      </c>
      <c r="Q216" s="88">
        <f t="shared" si="71"/>
        <v>0</v>
      </c>
      <c r="R216" s="78">
        <f>SUM(F216:Q216)</f>
        <v>0</v>
      </c>
      <c r="S216" s="78">
        <f>E216-R216</f>
        <v>0</v>
      </c>
      <c r="T216" s="165"/>
      <c r="U216" s="99"/>
    </row>
    <row r="217" spans="2:21" x14ac:dyDescent="0.35">
      <c r="B217" s="123"/>
      <c r="C217" s="58"/>
      <c r="D217" s="58"/>
      <c r="E217" s="73"/>
      <c r="F217" s="73"/>
      <c r="G217" s="73"/>
      <c r="H217" s="73"/>
      <c r="I217" s="73"/>
      <c r="J217" s="73"/>
      <c r="K217" s="73"/>
      <c r="L217" s="73"/>
      <c r="M217" s="73"/>
      <c r="N217" s="73"/>
      <c r="O217" s="73"/>
      <c r="P217" s="73"/>
      <c r="Q217" s="73"/>
      <c r="R217" s="73"/>
      <c r="S217" s="73"/>
      <c r="T217" s="72"/>
      <c r="U217" s="99"/>
    </row>
    <row r="218" spans="2:21" ht="15" thickBot="1" x14ac:dyDescent="0.4">
      <c r="B218" s="123" t="s">
        <v>129</v>
      </c>
      <c r="C218" s="58"/>
      <c r="D218" s="58"/>
      <c r="E218" s="71">
        <f>SUM(E154:E168,E171:E185,E188:E202,E205:E209,E212:E216)</f>
        <v>131380</v>
      </c>
      <c r="F218" s="71">
        <f t="shared" ref="F218:S218" si="72">SUM(F154:F168,F171:F185,F188:F202,F205:F209,F212:F216)</f>
        <v>0</v>
      </c>
      <c r="G218" s="71">
        <f t="shared" si="72"/>
        <v>0</v>
      </c>
      <c r="H218" s="71">
        <f t="shared" si="72"/>
        <v>34908</v>
      </c>
      <c r="I218" s="71">
        <f t="shared" si="72"/>
        <v>2108</v>
      </c>
      <c r="J218" s="71">
        <f t="shared" si="72"/>
        <v>2108</v>
      </c>
      <c r="K218" s="71">
        <f t="shared" si="72"/>
        <v>2108</v>
      </c>
      <c r="L218" s="71">
        <f t="shared" si="72"/>
        <v>4108</v>
      </c>
      <c r="M218" s="71">
        <f t="shared" si="72"/>
        <v>4108</v>
      </c>
      <c r="N218" s="71">
        <f t="shared" si="72"/>
        <v>4108</v>
      </c>
      <c r="O218" s="71">
        <f t="shared" si="72"/>
        <v>57941.333333333336</v>
      </c>
      <c r="P218" s="71">
        <f t="shared" si="72"/>
        <v>9941.3333333333339</v>
      </c>
      <c r="Q218" s="71">
        <f t="shared" si="72"/>
        <v>9941.3333333333339</v>
      </c>
      <c r="R218" s="71">
        <f t="shared" si="72"/>
        <v>131380</v>
      </c>
      <c r="S218" s="71">
        <f t="shared" si="72"/>
        <v>0</v>
      </c>
      <c r="T218" s="72"/>
      <c r="U218" s="99"/>
    </row>
    <row r="219" spans="2:21" ht="15" thickTop="1" x14ac:dyDescent="0.35">
      <c r="B219" s="123"/>
      <c r="C219" s="58"/>
      <c r="D219" s="58"/>
      <c r="E219" s="73"/>
      <c r="F219" s="73"/>
      <c r="G219" s="73"/>
      <c r="H219" s="73"/>
      <c r="I219" s="73"/>
      <c r="J219" s="73"/>
      <c r="K219" s="73"/>
      <c r="L219" s="73"/>
      <c r="M219" s="73"/>
      <c r="N219" s="73"/>
      <c r="O219" s="73"/>
      <c r="P219" s="73"/>
      <c r="Q219" s="73"/>
      <c r="R219" s="73"/>
      <c r="S219" s="73"/>
      <c r="T219" s="72"/>
      <c r="U219" s="99"/>
    </row>
    <row r="220" spans="2:21" ht="15" thickBot="1" x14ac:dyDescent="0.4">
      <c r="B220" s="123" t="s">
        <v>132</v>
      </c>
      <c r="C220" s="58"/>
      <c r="D220" s="58"/>
      <c r="E220" s="71">
        <f t="shared" ref="E220:S220" si="73">E123+E143+E218</f>
        <v>256845.52499999999</v>
      </c>
      <c r="F220" s="71">
        <f t="shared" si="73"/>
        <v>0</v>
      </c>
      <c r="G220" s="71">
        <f t="shared" si="73"/>
        <v>0</v>
      </c>
      <c r="H220" s="71">
        <f>H123+H143+H218</f>
        <v>43996.614282269176</v>
      </c>
      <c r="I220" s="71">
        <f t="shared" si="73"/>
        <v>11196.614282269178</v>
      </c>
      <c r="J220" s="71">
        <f t="shared" si="73"/>
        <v>11196.614282269178</v>
      </c>
      <c r="K220" s="71">
        <f t="shared" si="73"/>
        <v>11196.614282269178</v>
      </c>
      <c r="L220" s="71">
        <f t="shared" si="73"/>
        <v>18959.844645153884</v>
      </c>
      <c r="M220" s="71">
        <f t="shared" si="73"/>
        <v>18959.844645153884</v>
      </c>
      <c r="N220" s="71">
        <f t="shared" si="73"/>
        <v>18959.844645153884</v>
      </c>
      <c r="O220" s="71">
        <f t="shared" si="73"/>
        <v>72793.17797848722</v>
      </c>
      <c r="P220" s="71">
        <f t="shared" si="73"/>
        <v>24793.177978487216</v>
      </c>
      <c r="Q220" s="71">
        <f t="shared" si="73"/>
        <v>24793.177978487216</v>
      </c>
      <c r="R220" s="71">
        <f t="shared" si="73"/>
        <v>256845.52499999999</v>
      </c>
      <c r="S220" s="71">
        <f t="shared" si="73"/>
        <v>0</v>
      </c>
      <c r="T220" s="72"/>
      <c r="U220" s="99"/>
    </row>
    <row r="221" spans="2:21" ht="15.5" thickTop="1" thickBot="1" x14ac:dyDescent="0.4">
      <c r="B221" s="132"/>
      <c r="C221" s="133"/>
      <c r="D221" s="133"/>
      <c r="E221" s="133"/>
      <c r="F221" s="133"/>
      <c r="G221" s="133"/>
      <c r="H221" s="133"/>
      <c r="I221" s="133"/>
      <c r="J221" s="133"/>
      <c r="K221" s="133"/>
      <c r="L221" s="133"/>
      <c r="M221" s="133"/>
      <c r="N221" s="133"/>
      <c r="O221" s="133"/>
      <c r="P221" s="133"/>
      <c r="Q221" s="133"/>
      <c r="R221" s="133"/>
      <c r="S221" s="133"/>
      <c r="T221" s="133"/>
      <c r="U221" s="134"/>
    </row>
    <row r="222" spans="2:21" x14ac:dyDescent="0.35">
      <c r="U222" s="97"/>
    </row>
  </sheetData>
  <sheetProtection formatColumns="0" formatRows="0"/>
  <mergeCells count="9">
    <mergeCell ref="E88:S88"/>
    <mergeCell ref="E126:S126"/>
    <mergeCell ref="E146:S146"/>
    <mergeCell ref="E3:S3"/>
    <mergeCell ref="E4:S4"/>
    <mergeCell ref="E5:S5"/>
    <mergeCell ref="E46:S46"/>
    <mergeCell ref="E53:S53"/>
    <mergeCell ref="E8:S8"/>
  </mergeCells>
  <pageMargins left="0.7" right="0.7" top="0.75" bottom="0.75" header="0.3" footer="0.3"/>
  <pageSetup scale="45" fitToHeight="2" orientation="landscape" horizontalDpi="1200" verticalDpi="1200" r:id="rId1"/>
  <headerFooter>
    <oddFooter>&amp;L&amp;A&amp;RPage &amp;P of &amp;N</oddFooter>
  </headerFooter>
  <rowBreaks count="4" manualBreakCount="4">
    <brk id="44" max="22" man="1"/>
    <brk id="87" max="22" man="1"/>
    <brk id="144" max="22" man="1"/>
    <brk id="186" max="2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P106"/>
  <sheetViews>
    <sheetView showGridLines="0" topLeftCell="A31" zoomScale="75" zoomScaleNormal="75" zoomScaleSheetLayoutView="100" workbookViewId="0">
      <selection activeCell="K114" sqref="K114"/>
    </sheetView>
  </sheetViews>
  <sheetFormatPr defaultColWidth="8.7265625" defaultRowHeight="14.5" x14ac:dyDescent="0.35"/>
  <cols>
    <col min="1" max="1" width="4.7265625" style="5" customWidth="1"/>
    <col min="2" max="2" width="30" style="5" customWidth="1"/>
    <col min="3" max="3" width="17.7265625" style="5" customWidth="1"/>
    <col min="4" max="4" width="3.453125" style="5" customWidth="1"/>
    <col min="5" max="5" width="18.7265625" style="5" customWidth="1"/>
    <col min="6" max="6" width="20.7265625" style="5" customWidth="1"/>
    <col min="7" max="7" width="19.1796875" style="5" customWidth="1"/>
    <col min="8" max="8" width="17.7265625" style="5" customWidth="1"/>
    <col min="9" max="9" width="18.7265625" style="5" customWidth="1"/>
    <col min="10" max="10" width="10.7265625" style="5" bestFit="1" customWidth="1"/>
    <col min="11" max="11" width="46.7265625" style="264" customWidth="1"/>
    <col min="12" max="13" width="10.7265625" style="5" hidden="1" customWidth="1"/>
    <col min="14" max="14" width="10.26953125" style="5" hidden="1" customWidth="1"/>
    <col min="15" max="15" width="4.453125" style="5" hidden="1" customWidth="1"/>
    <col min="16" max="17" width="4.7265625" style="5" customWidth="1"/>
    <col min="18" max="16384" width="8.7265625" style="5"/>
  </cols>
  <sheetData>
    <row r="1" spans="1:16" ht="15" thickBot="1" x14ac:dyDescent="0.4"/>
    <row r="2" spans="1:16" x14ac:dyDescent="0.35">
      <c r="B2" s="6"/>
      <c r="C2" s="7"/>
      <c r="D2" s="7"/>
      <c r="E2" s="7"/>
      <c r="F2" s="7"/>
      <c r="G2" s="7"/>
      <c r="H2" s="7"/>
      <c r="I2" s="7"/>
      <c r="J2" s="7"/>
      <c r="K2" s="262"/>
      <c r="L2" s="7"/>
      <c r="M2" s="7"/>
      <c r="N2" s="7"/>
      <c r="O2" s="7"/>
      <c r="P2" s="8"/>
    </row>
    <row r="3" spans="1:16" ht="18.5" x14ac:dyDescent="0.45">
      <c r="B3" s="328" t="str">
        <f>'1) Proposed School Information'!E12</f>
        <v>Luceo Collegiate School for the Arts Charter School</v>
      </c>
      <c r="C3" s="289"/>
      <c r="D3" s="289"/>
      <c r="E3" s="289"/>
      <c r="F3" s="289"/>
      <c r="G3" s="289"/>
      <c r="H3" s="289"/>
      <c r="I3" s="289"/>
      <c r="J3" s="289"/>
      <c r="K3" s="289"/>
      <c r="L3" s="289"/>
      <c r="M3" s="289"/>
      <c r="N3" s="289"/>
      <c r="O3" s="289"/>
      <c r="P3" s="329"/>
    </row>
    <row r="4" spans="1:16" ht="18.5" x14ac:dyDescent="0.45">
      <c r="B4" s="328" t="s">
        <v>17</v>
      </c>
      <c r="C4" s="289"/>
      <c r="D4" s="289"/>
      <c r="E4" s="289"/>
      <c r="F4" s="289"/>
      <c r="G4" s="289"/>
      <c r="H4" s="289"/>
      <c r="I4" s="289"/>
      <c r="J4" s="289"/>
      <c r="K4" s="289"/>
      <c r="L4" s="289"/>
      <c r="M4" s="289"/>
      <c r="N4" s="289"/>
      <c r="O4" s="289"/>
      <c r="P4" s="329"/>
    </row>
    <row r="5" spans="1:16" ht="18.5" x14ac:dyDescent="0.45">
      <c r="B5" s="328" t="s">
        <v>203</v>
      </c>
      <c r="C5" s="289"/>
      <c r="D5" s="289"/>
      <c r="E5" s="289"/>
      <c r="F5" s="289"/>
      <c r="G5" s="289"/>
      <c r="H5" s="289"/>
      <c r="I5" s="289"/>
      <c r="J5" s="289"/>
      <c r="K5" s="289"/>
      <c r="L5" s="289"/>
      <c r="M5" s="289"/>
      <c r="N5" s="289"/>
      <c r="O5" s="289"/>
      <c r="P5" s="329"/>
    </row>
    <row r="6" spans="1:16" x14ac:dyDescent="0.35">
      <c r="B6" s="9"/>
      <c r="C6" s="10"/>
      <c r="D6" s="10"/>
      <c r="E6" s="10"/>
      <c r="F6" s="10"/>
      <c r="G6" s="10"/>
      <c r="H6" s="10"/>
      <c r="I6" s="10"/>
      <c r="J6" s="10"/>
      <c r="K6" s="263"/>
      <c r="L6" s="10"/>
      <c r="M6" s="10"/>
      <c r="N6" s="10"/>
      <c r="O6" s="10"/>
      <c r="P6" s="11"/>
    </row>
    <row r="7" spans="1:16" x14ac:dyDescent="0.35">
      <c r="B7" s="9"/>
      <c r="C7" s="10"/>
      <c r="D7" s="10"/>
      <c r="E7" s="10"/>
      <c r="F7" s="10"/>
      <c r="G7" s="10"/>
      <c r="H7" s="10"/>
      <c r="I7" s="10"/>
      <c r="J7" s="10"/>
      <c r="K7" s="263"/>
      <c r="L7" s="10"/>
      <c r="M7" s="10"/>
      <c r="N7" s="10"/>
      <c r="O7" s="10"/>
      <c r="P7" s="11"/>
    </row>
    <row r="8" spans="1:16" ht="15" customHeight="1" x14ac:dyDescent="0.35">
      <c r="B8" s="326" t="s">
        <v>69</v>
      </c>
      <c r="C8" s="284"/>
      <c r="D8" s="284"/>
      <c r="E8" s="284"/>
      <c r="F8" s="284"/>
      <c r="G8" s="284"/>
      <c r="H8" s="284"/>
      <c r="I8" s="284"/>
      <c r="J8" s="284"/>
      <c r="K8" s="284"/>
      <c r="L8" s="284"/>
      <c r="M8" s="284"/>
      <c r="N8" s="284"/>
      <c r="O8" s="284"/>
      <c r="P8" s="327"/>
    </row>
    <row r="9" spans="1:16" x14ac:dyDescent="0.35">
      <c r="B9" s="9"/>
      <c r="C9" s="10"/>
      <c r="D9" s="10"/>
      <c r="E9" s="10"/>
      <c r="F9" s="10"/>
      <c r="G9" s="10"/>
      <c r="H9" s="10"/>
      <c r="I9" s="10"/>
      <c r="J9" s="10"/>
      <c r="K9" s="263"/>
      <c r="L9" s="10"/>
      <c r="M9" s="10"/>
      <c r="N9" s="10"/>
      <c r="O9" s="10"/>
      <c r="P9" s="11"/>
    </row>
    <row r="10" spans="1:16" x14ac:dyDescent="0.35">
      <c r="A10" s="26"/>
      <c r="B10" s="27"/>
      <c r="C10" s="28"/>
      <c r="D10" s="1"/>
      <c r="E10" s="29" t="s">
        <v>47</v>
      </c>
      <c r="F10" s="29" t="s">
        <v>48</v>
      </c>
      <c r="G10" s="29" t="s">
        <v>49</v>
      </c>
      <c r="H10" s="29" t="s">
        <v>50</v>
      </c>
      <c r="I10" s="29" t="s">
        <v>51</v>
      </c>
      <c r="J10" s="57"/>
      <c r="K10" s="265"/>
      <c r="L10" s="57"/>
      <c r="M10" s="57"/>
      <c r="N10" s="57"/>
      <c r="O10" s="10"/>
      <c r="P10" s="11"/>
    </row>
    <row r="11" spans="1:16" x14ac:dyDescent="0.35">
      <c r="A11" s="26"/>
      <c r="B11" s="49" t="s">
        <v>85</v>
      </c>
      <c r="C11" s="28"/>
      <c r="D11" s="1"/>
      <c r="E11" s="29" t="str">
        <f>'2) Student Assumptions'!E11</f>
        <v>2021-22</v>
      </c>
      <c r="F11" s="29" t="str">
        <f>'2) Student Assumptions'!F11</f>
        <v>2022-23</v>
      </c>
      <c r="G11" s="29" t="str">
        <f>'2) Student Assumptions'!G11</f>
        <v>2023-24</v>
      </c>
      <c r="H11" s="29" t="str">
        <f>'2) Student Assumptions'!H11</f>
        <v>2024-25</v>
      </c>
      <c r="I11" s="29" t="str">
        <f>'2) Student Assumptions'!I11</f>
        <v>2026-27</v>
      </c>
      <c r="J11" s="57"/>
      <c r="K11" s="265"/>
      <c r="L11" s="57"/>
      <c r="M11" s="57"/>
      <c r="N11" s="57"/>
      <c r="O11" s="10"/>
      <c r="P11" s="11"/>
    </row>
    <row r="12" spans="1:16" x14ac:dyDescent="0.35">
      <c r="A12" s="26"/>
      <c r="B12" s="49" t="s">
        <v>42</v>
      </c>
      <c r="C12" s="28"/>
      <c r="D12" s="1"/>
      <c r="E12" s="29">
        <f>'2) Student Assumptions'!E29</f>
        <v>120</v>
      </c>
      <c r="F12" s="29">
        <f>'2) Student Assumptions'!F29</f>
        <v>180</v>
      </c>
      <c r="G12" s="29">
        <f>'2) Student Assumptions'!G29</f>
        <v>240</v>
      </c>
      <c r="H12" s="29">
        <f>'2) Student Assumptions'!H29</f>
        <v>300</v>
      </c>
      <c r="I12" s="29">
        <f>'2) Student Assumptions'!I29</f>
        <v>360</v>
      </c>
      <c r="J12" s="57"/>
      <c r="K12" s="265"/>
      <c r="L12" s="57"/>
      <c r="M12" s="57"/>
      <c r="N12" s="57"/>
      <c r="O12" s="10"/>
      <c r="P12" s="11"/>
    </row>
    <row r="13" spans="1:16" x14ac:dyDescent="0.35">
      <c r="A13" s="26"/>
      <c r="B13" s="49" t="s">
        <v>61</v>
      </c>
      <c r="C13" s="28"/>
      <c r="D13" s="1"/>
      <c r="E13" s="29">
        <f>'2) Student Assumptions'!E53</f>
        <v>4</v>
      </c>
      <c r="F13" s="29">
        <f>'2) Student Assumptions'!F53</f>
        <v>6</v>
      </c>
      <c r="G13" s="29">
        <f>'2) Student Assumptions'!G53</f>
        <v>8</v>
      </c>
      <c r="H13" s="29">
        <f>'2) Student Assumptions'!H53</f>
        <v>10</v>
      </c>
      <c r="I13" s="29">
        <f>'2) Student Assumptions'!I53</f>
        <v>12</v>
      </c>
      <c r="J13" s="57"/>
      <c r="K13" s="265"/>
      <c r="L13" s="57"/>
      <c r="M13" s="57"/>
      <c r="N13" s="57"/>
      <c r="O13" s="10"/>
      <c r="P13" s="11"/>
    </row>
    <row r="14" spans="1:16" x14ac:dyDescent="0.35">
      <c r="A14" s="26"/>
      <c r="B14" s="27"/>
      <c r="C14" s="28"/>
      <c r="D14" s="1"/>
      <c r="E14" s="138"/>
      <c r="F14" s="138"/>
      <c r="G14" s="138"/>
      <c r="H14" s="138"/>
      <c r="I14" s="138"/>
      <c r="J14" s="57"/>
      <c r="K14" s="265"/>
      <c r="L14" s="57"/>
      <c r="M14" s="57"/>
      <c r="N14" s="57"/>
      <c r="O14" s="10"/>
      <c r="P14" s="11"/>
    </row>
    <row r="15" spans="1:16" x14ac:dyDescent="0.35">
      <c r="A15" s="26"/>
      <c r="B15" s="27"/>
      <c r="C15" s="28"/>
      <c r="D15" s="28"/>
      <c r="E15" s="30"/>
      <c r="F15" s="30"/>
      <c r="G15" s="30"/>
      <c r="H15" s="30"/>
      <c r="I15" s="30"/>
      <c r="J15" s="76"/>
      <c r="K15" s="266"/>
      <c r="L15" s="76"/>
      <c r="M15" s="76"/>
      <c r="N15" s="76"/>
      <c r="O15" s="10"/>
      <c r="P15" s="11"/>
    </row>
    <row r="16" spans="1:16" x14ac:dyDescent="0.35">
      <c r="A16" s="26"/>
      <c r="B16" s="42" t="str">
        <f>'3) Pre-Opening Budget'!B62</f>
        <v>Administrative Staff</v>
      </c>
      <c r="C16" s="28"/>
      <c r="D16" s="28"/>
      <c r="E16" s="30"/>
      <c r="F16" s="30"/>
      <c r="G16" s="30"/>
      <c r="H16" s="30"/>
      <c r="I16" s="30"/>
      <c r="J16" s="76"/>
      <c r="K16" s="266"/>
      <c r="L16" s="76"/>
      <c r="M16" s="76"/>
      <c r="N16" s="76"/>
      <c r="O16" s="10"/>
      <c r="P16" s="11"/>
    </row>
    <row r="17" spans="1:16" x14ac:dyDescent="0.35">
      <c r="B17" s="31" t="str">
        <f>'3) Pre-Opening Budget'!B63</f>
        <v>Principal/School Leader</v>
      </c>
      <c r="C17" s="28"/>
      <c r="D17" s="10"/>
      <c r="E17" s="142">
        <v>1</v>
      </c>
      <c r="F17" s="142">
        <v>1</v>
      </c>
      <c r="G17" s="142">
        <v>1</v>
      </c>
      <c r="H17" s="142">
        <v>1</v>
      </c>
      <c r="I17" s="142">
        <v>1</v>
      </c>
      <c r="J17" s="158"/>
      <c r="K17" s="267"/>
      <c r="L17" s="158"/>
      <c r="M17" s="158"/>
      <c r="N17" s="158"/>
      <c r="O17" s="10"/>
      <c r="P17" s="11"/>
    </row>
    <row r="18" spans="1:16" x14ac:dyDescent="0.35">
      <c r="B18" s="31" t="str">
        <f>'3) Pre-Opening Budget'!B64</f>
        <v>Assistant Principal</v>
      </c>
      <c r="C18" s="28"/>
      <c r="D18" s="10"/>
      <c r="E18" s="142">
        <v>0</v>
      </c>
      <c r="F18" s="142">
        <v>0</v>
      </c>
      <c r="G18" s="142">
        <v>0</v>
      </c>
      <c r="H18" s="142">
        <v>0</v>
      </c>
      <c r="I18" s="142">
        <v>0</v>
      </c>
      <c r="J18" s="158"/>
      <c r="K18" s="267"/>
      <c r="L18" s="158"/>
      <c r="M18" s="158"/>
      <c r="N18" s="158"/>
      <c r="O18" s="10"/>
      <c r="P18" s="11"/>
    </row>
    <row r="19" spans="1:16" x14ac:dyDescent="0.35">
      <c r="B19" s="31" t="str">
        <f>'3) Pre-Opening Budget'!B65</f>
        <v>Special Education Coordinator</v>
      </c>
      <c r="C19" s="28"/>
      <c r="D19" s="10"/>
      <c r="E19" s="142">
        <v>0</v>
      </c>
      <c r="F19" s="142">
        <v>0</v>
      </c>
      <c r="G19" s="142">
        <v>0</v>
      </c>
      <c r="H19" s="142">
        <v>0</v>
      </c>
      <c r="I19" s="142">
        <v>0</v>
      </c>
      <c r="J19" s="158"/>
      <c r="K19" s="267"/>
      <c r="L19" s="158"/>
      <c r="M19" s="158"/>
      <c r="N19" s="158"/>
      <c r="O19" s="10"/>
      <c r="P19" s="11"/>
    </row>
    <row r="20" spans="1:16" x14ac:dyDescent="0.35">
      <c r="B20" s="31" t="str">
        <f>'3) Pre-Opening Budget'!B66</f>
        <v>Deans, Directors</v>
      </c>
      <c r="C20" s="28"/>
      <c r="D20" s="10"/>
      <c r="E20" s="142">
        <v>1</v>
      </c>
      <c r="F20" s="142">
        <v>2</v>
      </c>
      <c r="G20" s="142">
        <v>3</v>
      </c>
      <c r="H20" s="142">
        <v>3</v>
      </c>
      <c r="I20" s="142">
        <v>3</v>
      </c>
      <c r="J20" s="158"/>
      <c r="K20" s="267"/>
      <c r="L20" s="158"/>
      <c r="M20" s="158"/>
      <c r="N20" s="158"/>
      <c r="O20" s="10"/>
      <c r="P20" s="11"/>
    </row>
    <row r="21" spans="1:16" x14ac:dyDescent="0.35">
      <c r="B21" s="31" t="str">
        <f>'3) Pre-Opening Budget'!B67</f>
        <v>Other (Specify in Assumptions)</v>
      </c>
      <c r="C21" s="28"/>
      <c r="D21" s="10"/>
      <c r="E21" s="142">
        <v>0</v>
      </c>
      <c r="F21" s="142">
        <v>0</v>
      </c>
      <c r="G21" s="142">
        <v>0</v>
      </c>
      <c r="H21" s="142">
        <v>0</v>
      </c>
      <c r="I21" s="142">
        <v>0</v>
      </c>
      <c r="J21" s="158"/>
      <c r="K21" s="267"/>
      <c r="L21" s="158"/>
      <c r="M21" s="158"/>
      <c r="N21" s="158"/>
      <c r="O21" s="10"/>
      <c r="P21" s="11"/>
    </row>
    <row r="22" spans="1:16" ht="27.65" customHeight="1" x14ac:dyDescent="0.35">
      <c r="B22" s="39" t="s">
        <v>73</v>
      </c>
      <c r="C22" s="28"/>
      <c r="D22" s="28"/>
      <c r="E22" s="151">
        <f>SUM(E17:E21)</f>
        <v>2</v>
      </c>
      <c r="F22" s="151">
        <f>SUM(F17:F21)</f>
        <v>3</v>
      </c>
      <c r="G22" s="151">
        <f>SUM(G17:G21)</f>
        <v>4</v>
      </c>
      <c r="H22" s="151">
        <f>SUM(H17:H21)</f>
        <v>4</v>
      </c>
      <c r="I22" s="151">
        <f>SUM(I17:I21)</f>
        <v>4</v>
      </c>
      <c r="J22" s="159"/>
      <c r="K22" s="268"/>
      <c r="L22" s="159"/>
      <c r="M22" s="159"/>
      <c r="N22" s="159"/>
      <c r="O22" s="10"/>
      <c r="P22" s="11"/>
    </row>
    <row r="23" spans="1:16" x14ac:dyDescent="0.35">
      <c r="A23" s="26"/>
      <c r="B23" s="27"/>
      <c r="C23" s="28"/>
      <c r="D23" s="28"/>
      <c r="E23" s="40"/>
      <c r="F23" s="40"/>
      <c r="G23" s="40"/>
      <c r="H23" s="40"/>
      <c r="I23" s="40"/>
      <c r="J23" s="69"/>
      <c r="K23" s="269"/>
      <c r="L23" s="69"/>
      <c r="M23" s="69"/>
      <c r="N23" s="69"/>
      <c r="O23" s="10"/>
      <c r="P23" s="11"/>
    </row>
    <row r="24" spans="1:16" x14ac:dyDescent="0.35">
      <c r="A24" s="26"/>
      <c r="B24" s="42" t="str">
        <f>'3) Pre-Opening Budget'!B70</f>
        <v>Instructional Staff</v>
      </c>
      <c r="C24" s="28"/>
      <c r="D24" s="28"/>
      <c r="E24" s="30"/>
      <c r="F24" s="30"/>
      <c r="G24" s="30"/>
      <c r="H24" s="30"/>
      <c r="I24" s="30"/>
      <c r="J24" s="76"/>
      <c r="K24" s="266"/>
      <c r="L24" s="76"/>
      <c r="M24" s="76"/>
      <c r="N24" s="76"/>
      <c r="O24" s="10"/>
      <c r="P24" s="11"/>
    </row>
    <row r="25" spans="1:16" x14ac:dyDescent="0.35">
      <c r="B25" s="31" t="str">
        <f>'3) Pre-Opening Budget'!B71</f>
        <v>Teachers</v>
      </c>
      <c r="C25" s="28"/>
      <c r="D25" s="10"/>
      <c r="E25" s="142">
        <v>7</v>
      </c>
      <c r="F25" s="142">
        <v>11</v>
      </c>
      <c r="G25" s="142">
        <v>14</v>
      </c>
      <c r="H25" s="142">
        <v>17</v>
      </c>
      <c r="I25" s="142">
        <v>20</v>
      </c>
      <c r="J25" s="158"/>
      <c r="K25" s="267"/>
      <c r="L25" s="158"/>
      <c r="M25" s="158"/>
      <c r="N25" s="158"/>
      <c r="O25" s="10"/>
      <c r="P25" s="11"/>
    </row>
    <row r="26" spans="1:16" x14ac:dyDescent="0.35">
      <c r="B26" s="31" t="str">
        <f>'3) Pre-Opening Budget'!B72</f>
        <v>Special Education Teachers</v>
      </c>
      <c r="C26" s="28"/>
      <c r="D26" s="10"/>
      <c r="E26" s="142">
        <v>1</v>
      </c>
      <c r="F26" s="142">
        <v>1</v>
      </c>
      <c r="G26" s="142">
        <v>3</v>
      </c>
      <c r="H26" s="142">
        <v>4</v>
      </c>
      <c r="I26" s="142">
        <v>5</v>
      </c>
      <c r="J26" s="158"/>
      <c r="K26" s="267"/>
      <c r="L26" s="158"/>
      <c r="M26" s="158"/>
      <c r="N26" s="158"/>
      <c r="O26" s="10"/>
      <c r="P26" s="11"/>
    </row>
    <row r="27" spans="1:16" x14ac:dyDescent="0.35">
      <c r="B27" s="31" t="str">
        <f>'3) Pre-Opening Budget'!B73</f>
        <v>Eduacational Assistants/Aides</v>
      </c>
      <c r="C27" s="28"/>
      <c r="D27" s="10"/>
      <c r="E27" s="142">
        <v>0</v>
      </c>
      <c r="F27" s="142">
        <v>0</v>
      </c>
      <c r="G27" s="142">
        <v>0</v>
      </c>
      <c r="H27" s="142">
        <v>0</v>
      </c>
      <c r="I27" s="142">
        <v>0</v>
      </c>
      <c r="J27" s="158"/>
      <c r="K27" s="267"/>
      <c r="L27" s="158"/>
      <c r="M27" s="158"/>
      <c r="N27" s="158"/>
      <c r="O27" s="10"/>
      <c r="P27" s="11"/>
    </row>
    <row r="28" spans="1:16" x14ac:dyDescent="0.35">
      <c r="B28" s="31" t="str">
        <f>'3) Pre-Opening Budget'!B74</f>
        <v>Elective Teachers</v>
      </c>
      <c r="C28" s="28"/>
      <c r="D28" s="10"/>
      <c r="E28" s="142">
        <v>1</v>
      </c>
      <c r="F28" s="142">
        <v>2</v>
      </c>
      <c r="G28" s="142">
        <v>2</v>
      </c>
      <c r="H28" s="142">
        <v>4</v>
      </c>
      <c r="I28" s="142">
        <v>4</v>
      </c>
      <c r="J28" s="158"/>
      <c r="K28" s="267"/>
      <c r="L28" s="158"/>
      <c r="M28" s="158"/>
      <c r="N28" s="158"/>
      <c r="O28" s="10"/>
      <c r="P28" s="11"/>
    </row>
    <row r="29" spans="1:16" x14ac:dyDescent="0.35">
      <c r="B29" s="31" t="str">
        <f>'3) Pre-Opening Budget'!B75</f>
        <v>Other (Specify in Assumptions)</v>
      </c>
      <c r="C29" s="28"/>
      <c r="D29" s="10"/>
      <c r="E29" s="142">
        <v>0</v>
      </c>
      <c r="F29" s="142">
        <v>0</v>
      </c>
      <c r="G29" s="142">
        <v>0</v>
      </c>
      <c r="H29" s="142">
        <v>0</v>
      </c>
      <c r="I29" s="142">
        <v>0</v>
      </c>
      <c r="J29" s="158"/>
      <c r="K29" s="267"/>
      <c r="L29" s="158"/>
      <c r="M29" s="158"/>
      <c r="N29" s="158"/>
      <c r="O29" s="10"/>
      <c r="P29" s="11"/>
    </row>
    <row r="30" spans="1:16" ht="27.65" customHeight="1" x14ac:dyDescent="0.35">
      <c r="B30" s="39" t="s">
        <v>75</v>
      </c>
      <c r="C30" s="28"/>
      <c r="D30" s="28"/>
      <c r="E30" s="151">
        <f>SUM(E25:E29)</f>
        <v>9</v>
      </c>
      <c r="F30" s="151">
        <f>SUM(F25:F29)</f>
        <v>14</v>
      </c>
      <c r="G30" s="151">
        <f>SUM(G25:G29)</f>
        <v>19</v>
      </c>
      <c r="H30" s="151">
        <f>SUM(H25:H29)</f>
        <v>25</v>
      </c>
      <c r="I30" s="151">
        <f>SUM(I25:I29)</f>
        <v>29</v>
      </c>
      <c r="J30" s="159"/>
      <c r="K30" s="268"/>
      <c r="L30" s="159"/>
      <c r="M30" s="159"/>
      <c r="N30" s="159"/>
      <c r="O30" s="10"/>
      <c r="P30" s="11"/>
    </row>
    <row r="31" spans="1:16" x14ac:dyDescent="0.35">
      <c r="A31" s="26"/>
      <c r="B31" s="27"/>
      <c r="C31" s="28"/>
      <c r="D31" s="28"/>
      <c r="E31" s="40"/>
      <c r="F31" s="40"/>
      <c r="G31" s="40"/>
      <c r="H31" s="40"/>
      <c r="I31" s="40"/>
      <c r="J31" s="69"/>
      <c r="K31" s="269"/>
      <c r="L31" s="69"/>
      <c r="M31" s="69"/>
      <c r="N31" s="69"/>
      <c r="O31" s="10"/>
      <c r="P31" s="11"/>
    </row>
    <row r="32" spans="1:16" x14ac:dyDescent="0.35">
      <c r="A32" s="26"/>
      <c r="B32" s="42" t="str">
        <f>'3) Pre-Opening Budget'!B78</f>
        <v>Non-Instructional Staff</v>
      </c>
      <c r="C32" s="28"/>
      <c r="D32" s="28"/>
      <c r="E32" s="30"/>
      <c r="F32" s="30"/>
      <c r="G32" s="30"/>
      <c r="H32" s="30"/>
      <c r="I32" s="30"/>
      <c r="J32" s="76"/>
      <c r="K32" s="266"/>
      <c r="L32" s="76"/>
      <c r="M32" s="76"/>
      <c r="N32" s="76"/>
      <c r="O32" s="10"/>
      <c r="P32" s="11"/>
    </row>
    <row r="33" spans="1:16" x14ac:dyDescent="0.35">
      <c r="B33" s="31" t="str">
        <f>'3) Pre-Opening Budget'!B79</f>
        <v>Clerical Staff</v>
      </c>
      <c r="C33" s="28"/>
      <c r="D33" s="10"/>
      <c r="E33" s="142">
        <v>1</v>
      </c>
      <c r="F33" s="142">
        <v>1</v>
      </c>
      <c r="G33" s="142">
        <v>1</v>
      </c>
      <c r="H33" s="142">
        <v>1</v>
      </c>
      <c r="I33" s="142">
        <v>1</v>
      </c>
      <c r="J33" s="158"/>
      <c r="K33" s="267"/>
      <c r="L33" s="158"/>
      <c r="M33" s="158"/>
      <c r="N33" s="158"/>
      <c r="O33" s="10"/>
      <c r="P33" s="11"/>
    </row>
    <row r="34" spans="1:16" x14ac:dyDescent="0.35">
      <c r="B34" s="31" t="str">
        <f>'3) Pre-Opening Budget'!B80</f>
        <v>Custodial Staff</v>
      </c>
      <c r="C34" s="28"/>
      <c r="D34" s="10"/>
      <c r="E34" s="142">
        <v>0</v>
      </c>
      <c r="F34" s="142">
        <v>0</v>
      </c>
      <c r="G34" s="142">
        <v>0</v>
      </c>
      <c r="H34" s="142">
        <v>0</v>
      </c>
      <c r="I34" s="142">
        <v>0</v>
      </c>
      <c r="J34" s="158"/>
      <c r="K34" s="267"/>
      <c r="L34" s="158"/>
      <c r="M34" s="158"/>
      <c r="N34" s="158"/>
      <c r="O34" s="10"/>
      <c r="P34" s="11"/>
    </row>
    <row r="35" spans="1:16" x14ac:dyDescent="0.35">
      <c r="B35" s="31" t="str">
        <f>'3) Pre-Opening Budget'!B81</f>
        <v>Operations</v>
      </c>
      <c r="C35" s="28"/>
      <c r="D35" s="10"/>
      <c r="E35" s="142">
        <v>0</v>
      </c>
      <c r="F35" s="142">
        <v>0</v>
      </c>
      <c r="G35" s="142">
        <v>0</v>
      </c>
      <c r="H35" s="142">
        <v>0</v>
      </c>
      <c r="I35" s="142">
        <v>1</v>
      </c>
      <c r="J35" s="158"/>
      <c r="K35" s="267"/>
      <c r="L35" s="158"/>
      <c r="M35" s="158"/>
      <c r="N35" s="158"/>
      <c r="O35" s="10"/>
      <c r="P35" s="11"/>
    </row>
    <row r="36" spans="1:16" x14ac:dyDescent="0.35">
      <c r="B36" s="31" t="str">
        <f>'3) Pre-Opening Budget'!B82</f>
        <v>Social Workers/Counseling</v>
      </c>
      <c r="C36" s="28"/>
      <c r="D36" s="10"/>
      <c r="E36" s="142">
        <v>0</v>
      </c>
      <c r="F36" s="142">
        <v>0</v>
      </c>
      <c r="G36" s="142">
        <v>0</v>
      </c>
      <c r="H36" s="142">
        <v>1</v>
      </c>
      <c r="I36" s="142">
        <v>1</v>
      </c>
      <c r="J36" s="158"/>
      <c r="K36" s="267"/>
      <c r="L36" s="158"/>
      <c r="M36" s="158"/>
      <c r="N36" s="158"/>
      <c r="O36" s="10"/>
      <c r="P36" s="11"/>
    </row>
    <row r="37" spans="1:16" x14ac:dyDescent="0.35">
      <c r="B37" s="31" t="str">
        <f>'3) Pre-Opening Budget'!B83</f>
        <v>Other (Specify in Assumptions)</v>
      </c>
      <c r="C37" s="28"/>
      <c r="D37" s="10"/>
      <c r="E37" s="142">
        <v>0</v>
      </c>
      <c r="F37" s="142">
        <v>0</v>
      </c>
      <c r="G37" s="142">
        <v>0</v>
      </c>
      <c r="H37" s="142">
        <v>0</v>
      </c>
      <c r="I37" s="142">
        <v>0</v>
      </c>
      <c r="J37" s="158"/>
      <c r="K37" s="267"/>
      <c r="L37" s="158"/>
      <c r="M37" s="158"/>
      <c r="N37" s="158"/>
      <c r="O37" s="10"/>
      <c r="P37" s="11"/>
    </row>
    <row r="38" spans="1:16" ht="21" customHeight="1" x14ac:dyDescent="0.35">
      <c r="B38" s="39" t="s">
        <v>76</v>
      </c>
      <c r="C38" s="28"/>
      <c r="D38" s="28"/>
      <c r="E38" s="151">
        <f>SUM(E33:E37)</f>
        <v>1</v>
      </c>
      <c r="F38" s="151">
        <f>SUM(F33:F37)</f>
        <v>1</v>
      </c>
      <c r="G38" s="151">
        <f>SUM(G33:G37)</f>
        <v>1</v>
      </c>
      <c r="H38" s="151">
        <f>SUM(H33:H37)</f>
        <v>2</v>
      </c>
      <c r="I38" s="151">
        <f>SUM(I33:I37)</f>
        <v>3</v>
      </c>
      <c r="J38" s="159"/>
      <c r="K38" s="268"/>
      <c r="L38" s="159"/>
      <c r="M38" s="159"/>
      <c r="N38" s="159"/>
      <c r="O38" s="10"/>
      <c r="P38" s="11"/>
    </row>
    <row r="39" spans="1:16" x14ac:dyDescent="0.35">
      <c r="A39" s="26"/>
      <c r="B39" s="27"/>
      <c r="C39" s="28"/>
      <c r="D39" s="28"/>
      <c r="E39" s="40"/>
      <c r="F39" s="40"/>
      <c r="G39" s="40"/>
      <c r="H39" s="40"/>
      <c r="I39" s="40"/>
      <c r="J39" s="69"/>
      <c r="K39" s="269"/>
      <c r="L39" s="69"/>
      <c r="M39" s="69"/>
      <c r="N39" s="69"/>
      <c r="O39" s="10"/>
      <c r="P39" s="11"/>
    </row>
    <row r="40" spans="1:16" ht="15" thickBot="1" x14ac:dyDescent="0.4">
      <c r="A40" s="26"/>
      <c r="B40" s="187" t="s">
        <v>72</v>
      </c>
      <c r="C40" s="188"/>
      <c r="D40" s="188"/>
      <c r="E40" s="234">
        <f>E22+E30+E38</f>
        <v>12</v>
      </c>
      <c r="F40" s="234">
        <f>F22+F30+F38</f>
        <v>18</v>
      </c>
      <c r="G40" s="234">
        <f>G22+G30+G38</f>
        <v>24</v>
      </c>
      <c r="H40" s="234">
        <f>H22+H30+H38</f>
        <v>31</v>
      </c>
      <c r="I40" s="234">
        <f>I22+I30+I38</f>
        <v>36</v>
      </c>
      <c r="J40" s="235"/>
      <c r="K40" s="270"/>
      <c r="L40" s="235"/>
      <c r="M40" s="235"/>
      <c r="N40" s="235"/>
      <c r="O40" s="23"/>
      <c r="P40" s="24"/>
    </row>
    <row r="41" spans="1:16" x14ac:dyDescent="0.35">
      <c r="B41" s="41"/>
      <c r="C41" s="10"/>
      <c r="D41" s="10"/>
      <c r="E41" s="183"/>
      <c r="F41" s="183"/>
      <c r="G41" s="183"/>
      <c r="H41" s="183"/>
      <c r="I41" s="183"/>
      <c r="J41" s="183"/>
      <c r="K41" s="271"/>
      <c r="L41" s="183"/>
      <c r="M41" s="183"/>
      <c r="N41" s="183"/>
      <c r="O41" s="10"/>
      <c r="P41" s="11"/>
    </row>
    <row r="42" spans="1:16" ht="15" customHeight="1" x14ac:dyDescent="0.35">
      <c r="A42" s="26"/>
      <c r="B42" s="326" t="s">
        <v>77</v>
      </c>
      <c r="C42" s="284"/>
      <c r="D42" s="284"/>
      <c r="E42" s="284"/>
      <c r="F42" s="284"/>
      <c r="G42" s="284"/>
      <c r="H42" s="284"/>
      <c r="I42" s="284"/>
      <c r="J42" s="284"/>
      <c r="K42" s="284"/>
      <c r="L42" s="284"/>
      <c r="M42" s="284"/>
      <c r="N42" s="284"/>
      <c r="O42" s="284"/>
      <c r="P42" s="327"/>
    </row>
    <row r="43" spans="1:16" x14ac:dyDescent="0.35">
      <c r="A43" s="26"/>
      <c r="B43" s="9"/>
      <c r="C43" s="10"/>
      <c r="D43" s="10"/>
      <c r="E43" s="183"/>
      <c r="F43" s="183"/>
      <c r="G43" s="183"/>
      <c r="H43" s="183"/>
      <c r="I43" s="183"/>
      <c r="J43" s="183"/>
      <c r="K43" s="271"/>
      <c r="L43" s="183"/>
      <c r="M43" s="183"/>
      <c r="N43" s="183"/>
      <c r="O43" s="10"/>
      <c r="P43" s="11"/>
    </row>
    <row r="44" spans="1:16" x14ac:dyDescent="0.35">
      <c r="A44" s="26"/>
      <c r="B44" s="27"/>
      <c r="C44" s="28"/>
      <c r="D44" s="1"/>
      <c r="E44" s="29" t="s">
        <v>47</v>
      </c>
      <c r="F44" s="29" t="s">
        <v>48</v>
      </c>
      <c r="G44" s="29" t="s">
        <v>49</v>
      </c>
      <c r="H44" s="29" t="s">
        <v>50</v>
      </c>
      <c r="I44" s="29" t="s">
        <v>51</v>
      </c>
      <c r="J44" s="57"/>
      <c r="K44" s="265"/>
      <c r="L44" s="57"/>
      <c r="M44" s="57"/>
      <c r="N44" s="57"/>
      <c r="O44" s="10"/>
      <c r="P44" s="11"/>
    </row>
    <row r="45" spans="1:16" x14ac:dyDescent="0.35">
      <c r="A45" s="26"/>
      <c r="B45" s="27"/>
      <c r="C45" s="28"/>
      <c r="D45" s="1"/>
      <c r="E45" s="29" t="str">
        <f>E11</f>
        <v>2021-22</v>
      </c>
      <c r="F45" s="29" t="str">
        <f>F11</f>
        <v>2022-23</v>
      </c>
      <c r="G45" s="29" t="str">
        <f>G11</f>
        <v>2023-24</v>
      </c>
      <c r="H45" s="29" t="str">
        <f>H11</f>
        <v>2024-25</v>
      </c>
      <c r="I45" s="29" t="str">
        <f>I11</f>
        <v>2026-27</v>
      </c>
      <c r="J45" s="57"/>
      <c r="K45" s="265"/>
      <c r="L45" s="57"/>
      <c r="M45" s="57"/>
      <c r="N45" s="57"/>
      <c r="O45" s="10"/>
      <c r="P45" s="11"/>
    </row>
    <row r="46" spans="1:16" x14ac:dyDescent="0.35">
      <c r="A46" s="26"/>
      <c r="B46" s="27"/>
      <c r="C46" s="28"/>
      <c r="D46" s="1"/>
      <c r="E46" s="138"/>
      <c r="F46" s="138"/>
      <c r="G46" s="138"/>
      <c r="H46" s="138"/>
      <c r="I46" s="138"/>
      <c r="J46" s="57"/>
      <c r="K46" s="265"/>
      <c r="L46" s="57"/>
      <c r="M46" s="57"/>
      <c r="N46" s="57"/>
      <c r="O46" s="10"/>
      <c r="P46" s="11"/>
    </row>
    <row r="47" spans="1:16" x14ac:dyDescent="0.35">
      <c r="A47" s="26"/>
      <c r="B47" s="27"/>
      <c r="C47" s="58" t="s">
        <v>78</v>
      </c>
      <c r="D47" s="1"/>
      <c r="E47" s="91">
        <v>0</v>
      </c>
      <c r="F47" s="91">
        <v>2.5000000000000001E-2</v>
      </c>
      <c r="G47" s="91">
        <v>2.5000000000000001E-2</v>
      </c>
      <c r="H47" s="91">
        <v>2.5000000000000001E-2</v>
      </c>
      <c r="I47" s="91">
        <v>2.5000000000000001E-2</v>
      </c>
      <c r="J47" s="161"/>
      <c r="K47" s="272"/>
      <c r="L47" s="161"/>
      <c r="M47" s="161"/>
      <c r="N47" s="161"/>
      <c r="O47" s="10"/>
      <c r="P47" s="11"/>
    </row>
    <row r="48" spans="1:16" x14ac:dyDescent="0.35">
      <c r="A48" s="26"/>
      <c r="B48" s="27"/>
      <c r="C48" s="61" t="s">
        <v>94</v>
      </c>
      <c r="D48" s="1"/>
      <c r="E48" s="62">
        <f>100%+E47</f>
        <v>1</v>
      </c>
      <c r="F48" s="62">
        <f>E48*(1+F47)</f>
        <v>1.0249999999999999</v>
      </c>
      <c r="G48" s="62">
        <f>F48*(1+G47)</f>
        <v>1.0506249999999999</v>
      </c>
      <c r="H48" s="62">
        <f>G48*(1+H47)</f>
        <v>1.0768906249999999</v>
      </c>
      <c r="I48" s="62">
        <f>H48*(1+I47)</f>
        <v>1.1038128906249998</v>
      </c>
      <c r="J48" s="62"/>
      <c r="K48" s="273"/>
      <c r="L48" s="62"/>
      <c r="M48" s="62"/>
      <c r="N48" s="62"/>
      <c r="O48" s="10"/>
      <c r="P48" s="11"/>
    </row>
    <row r="49" spans="1:16" x14ac:dyDescent="0.35">
      <c r="A49" s="26"/>
      <c r="B49" s="27"/>
      <c r="C49" s="28"/>
      <c r="D49" s="1"/>
      <c r="E49" s="138"/>
      <c r="F49" s="138"/>
      <c r="G49" s="138"/>
      <c r="H49" s="138"/>
      <c r="I49" s="138"/>
      <c r="J49" s="57"/>
      <c r="K49" s="265"/>
      <c r="L49" s="57"/>
      <c r="M49" s="57"/>
      <c r="N49" s="57"/>
      <c r="O49" s="10"/>
      <c r="P49" s="11"/>
    </row>
    <row r="50" spans="1:16" x14ac:dyDescent="0.35">
      <c r="A50" s="26"/>
      <c r="B50" s="42" t="s">
        <v>74</v>
      </c>
      <c r="C50" s="58" t="s">
        <v>79</v>
      </c>
      <c r="D50" s="28"/>
      <c r="E50" s="30"/>
      <c r="F50" s="30"/>
      <c r="G50" s="30"/>
      <c r="H50" s="30"/>
      <c r="I50" s="30"/>
      <c r="J50" s="76"/>
      <c r="K50" s="274" t="s">
        <v>133</v>
      </c>
      <c r="L50" s="76"/>
      <c r="M50" s="76"/>
      <c r="N50" s="76"/>
      <c r="O50" s="10"/>
      <c r="P50" s="11"/>
    </row>
    <row r="51" spans="1:16" ht="29" x14ac:dyDescent="0.35">
      <c r="A51" s="26"/>
      <c r="B51" s="49" t="str">
        <f>B17</f>
        <v>Principal/School Leader</v>
      </c>
      <c r="C51" s="87">
        <v>95000</v>
      </c>
      <c r="D51" s="10"/>
      <c r="E51" s="78">
        <f t="shared" ref="E51:I55" si="0">$C51*E17*E$48</f>
        <v>95000</v>
      </c>
      <c r="F51" s="78">
        <f t="shared" si="0"/>
        <v>97374.999999999985</v>
      </c>
      <c r="G51" s="78">
        <f t="shared" si="0"/>
        <v>99809.374999999985</v>
      </c>
      <c r="H51" s="78">
        <f t="shared" si="0"/>
        <v>102304.60937499999</v>
      </c>
      <c r="I51" s="78">
        <f t="shared" si="0"/>
        <v>104862.22460937497</v>
      </c>
      <c r="J51" s="83"/>
      <c r="K51" s="261" t="s">
        <v>419</v>
      </c>
      <c r="L51" s="83"/>
      <c r="M51" s="83"/>
      <c r="N51" s="83"/>
      <c r="O51" s="10"/>
      <c r="P51" s="11"/>
    </row>
    <row r="52" spans="1:16" x14ac:dyDescent="0.35">
      <c r="A52" s="26"/>
      <c r="B52" s="49" t="str">
        <f>B18</f>
        <v>Assistant Principal</v>
      </c>
      <c r="C52" s="87">
        <v>0</v>
      </c>
      <c r="D52" s="10"/>
      <c r="E52" s="78">
        <f t="shared" si="0"/>
        <v>0</v>
      </c>
      <c r="F52" s="78">
        <f t="shared" si="0"/>
        <v>0</v>
      </c>
      <c r="G52" s="78">
        <f t="shared" si="0"/>
        <v>0</v>
      </c>
      <c r="H52" s="78">
        <f t="shared" si="0"/>
        <v>0</v>
      </c>
      <c r="I52" s="78">
        <f t="shared" si="0"/>
        <v>0</v>
      </c>
      <c r="J52" s="83"/>
      <c r="K52" s="261"/>
      <c r="L52" s="83"/>
      <c r="M52" s="83"/>
      <c r="N52" s="83"/>
      <c r="O52" s="10"/>
      <c r="P52" s="11"/>
    </row>
    <row r="53" spans="1:16" x14ac:dyDescent="0.35">
      <c r="A53" s="26"/>
      <c r="B53" s="49" t="str">
        <f>B19</f>
        <v>Special Education Coordinator</v>
      </c>
      <c r="C53" s="87">
        <v>0</v>
      </c>
      <c r="D53" s="10"/>
      <c r="E53" s="78">
        <f t="shared" si="0"/>
        <v>0</v>
      </c>
      <c r="F53" s="78">
        <f t="shared" si="0"/>
        <v>0</v>
      </c>
      <c r="G53" s="78">
        <f t="shared" si="0"/>
        <v>0</v>
      </c>
      <c r="H53" s="78">
        <f t="shared" si="0"/>
        <v>0</v>
      </c>
      <c r="I53" s="78">
        <f t="shared" si="0"/>
        <v>0</v>
      </c>
      <c r="J53" s="83"/>
      <c r="K53" s="261"/>
      <c r="L53" s="83"/>
      <c r="M53" s="83"/>
      <c r="N53" s="83"/>
      <c r="O53" s="10"/>
      <c r="P53" s="11"/>
    </row>
    <row r="54" spans="1:16" ht="29" x14ac:dyDescent="0.35">
      <c r="A54" s="26"/>
      <c r="B54" s="49" t="str">
        <f>B20</f>
        <v>Deans, Directors</v>
      </c>
      <c r="C54" s="87">
        <v>60000</v>
      </c>
      <c r="D54" s="10"/>
      <c r="E54" s="78">
        <f t="shared" si="0"/>
        <v>60000</v>
      </c>
      <c r="F54" s="78">
        <f t="shared" si="0"/>
        <v>122999.99999999999</v>
      </c>
      <c r="G54" s="78">
        <f t="shared" si="0"/>
        <v>189112.5</v>
      </c>
      <c r="H54" s="78">
        <f t="shared" si="0"/>
        <v>193840.31249999997</v>
      </c>
      <c r="I54" s="78">
        <f t="shared" si="0"/>
        <v>198686.32031249997</v>
      </c>
      <c r="J54" s="83"/>
      <c r="K54" s="261" t="s">
        <v>420</v>
      </c>
      <c r="L54" s="83"/>
      <c r="M54" s="83"/>
      <c r="N54" s="83"/>
      <c r="O54" s="10"/>
      <c r="P54" s="11"/>
    </row>
    <row r="55" spans="1:16" x14ac:dyDescent="0.35">
      <c r="A55" s="26"/>
      <c r="B55" s="49" t="str">
        <f>B21</f>
        <v>Other (Specify in Assumptions)</v>
      </c>
      <c r="C55" s="87">
        <v>0</v>
      </c>
      <c r="D55" s="10"/>
      <c r="E55" s="78">
        <f t="shared" si="0"/>
        <v>0</v>
      </c>
      <c r="F55" s="78">
        <f t="shared" si="0"/>
        <v>0</v>
      </c>
      <c r="G55" s="78">
        <f t="shared" si="0"/>
        <v>0</v>
      </c>
      <c r="H55" s="78">
        <f t="shared" si="0"/>
        <v>0</v>
      </c>
      <c r="I55" s="78">
        <f t="shared" si="0"/>
        <v>0</v>
      </c>
      <c r="J55" s="83"/>
      <c r="K55" s="261"/>
      <c r="L55" s="83"/>
      <c r="M55" s="83"/>
      <c r="N55" s="83"/>
      <c r="O55" s="10"/>
      <c r="P55" s="11"/>
    </row>
    <row r="56" spans="1:16" ht="29" x14ac:dyDescent="0.35">
      <c r="A56" s="26"/>
      <c r="B56" s="39" t="s">
        <v>80</v>
      </c>
      <c r="C56" s="28"/>
      <c r="D56" s="28"/>
      <c r="E56" s="152">
        <f>SUM(E51:E55)</f>
        <v>155000</v>
      </c>
      <c r="F56" s="152">
        <f>SUM(F51:F55)</f>
        <v>220374.99999999997</v>
      </c>
      <c r="G56" s="152">
        <f>SUM(G51:G55)</f>
        <v>288921.875</v>
      </c>
      <c r="H56" s="152">
        <f>SUM(H51:H55)</f>
        <v>296144.92187499994</v>
      </c>
      <c r="I56" s="152">
        <f>SUM(I51:I55)</f>
        <v>303548.54492187494</v>
      </c>
      <c r="J56" s="81"/>
      <c r="K56" s="261"/>
      <c r="L56" s="81"/>
      <c r="M56" s="81"/>
      <c r="N56" s="81"/>
      <c r="O56" s="10"/>
      <c r="P56" s="11"/>
    </row>
    <row r="57" spans="1:16" x14ac:dyDescent="0.35">
      <c r="A57" s="26"/>
      <c r="B57" s="27"/>
      <c r="C57" s="28"/>
      <c r="D57" s="28"/>
      <c r="E57" s="139"/>
      <c r="F57" s="139"/>
      <c r="G57" s="139"/>
      <c r="H57" s="139"/>
      <c r="I57" s="139"/>
      <c r="J57" s="81"/>
      <c r="K57" s="275"/>
      <c r="L57" s="81"/>
      <c r="M57" s="81"/>
      <c r="N57" s="81"/>
      <c r="O57" s="10"/>
      <c r="P57" s="11"/>
    </row>
    <row r="58" spans="1:16" x14ac:dyDescent="0.35">
      <c r="A58" s="26"/>
      <c r="B58" s="42" t="s">
        <v>70</v>
      </c>
      <c r="C58" s="28"/>
      <c r="D58" s="28"/>
      <c r="E58" s="140"/>
      <c r="F58" s="140"/>
      <c r="G58" s="140"/>
      <c r="H58" s="140"/>
      <c r="I58" s="140"/>
      <c r="J58" s="160"/>
      <c r="K58" s="275"/>
      <c r="L58" s="160"/>
      <c r="M58" s="160"/>
      <c r="N58" s="160"/>
      <c r="O58" s="10"/>
      <c r="P58" s="11"/>
    </row>
    <row r="59" spans="1:16" ht="43.5" x14ac:dyDescent="0.35">
      <c r="A59" s="26"/>
      <c r="B59" s="49" t="str">
        <f>B25</f>
        <v>Teachers</v>
      </c>
      <c r="C59" s="87">
        <v>46000</v>
      </c>
      <c r="D59" s="10"/>
      <c r="E59" s="78">
        <f t="shared" ref="E59:I63" si="1">$C59*E25*E$48</f>
        <v>322000</v>
      </c>
      <c r="F59" s="78">
        <f t="shared" si="1"/>
        <v>518649.99999999994</v>
      </c>
      <c r="G59" s="78">
        <f t="shared" si="1"/>
        <v>676602.5</v>
      </c>
      <c r="H59" s="78">
        <f t="shared" si="1"/>
        <v>842128.46874999988</v>
      </c>
      <c r="I59" s="78">
        <f t="shared" si="1"/>
        <v>1015507.8593749998</v>
      </c>
      <c r="J59" s="83"/>
      <c r="K59" s="261" t="s">
        <v>421</v>
      </c>
      <c r="L59" s="83"/>
      <c r="M59" s="83"/>
      <c r="N59" s="83"/>
      <c r="O59" s="10"/>
      <c r="P59" s="11"/>
    </row>
    <row r="60" spans="1:16" ht="58" x14ac:dyDescent="0.35">
      <c r="A60" s="26"/>
      <c r="B60" s="49" t="str">
        <f>B26</f>
        <v>Special Education Teachers</v>
      </c>
      <c r="C60" s="87">
        <v>50000</v>
      </c>
      <c r="D60" s="10"/>
      <c r="E60" s="78">
        <f t="shared" si="1"/>
        <v>50000</v>
      </c>
      <c r="F60" s="78">
        <f t="shared" si="1"/>
        <v>51249.999999999993</v>
      </c>
      <c r="G60" s="78">
        <f t="shared" si="1"/>
        <v>157593.75</v>
      </c>
      <c r="H60" s="78">
        <f t="shared" si="1"/>
        <v>215378.12499999997</v>
      </c>
      <c r="I60" s="78">
        <f t="shared" si="1"/>
        <v>275953.22265624994</v>
      </c>
      <c r="J60" s="83"/>
      <c r="K60" s="261" t="s">
        <v>422</v>
      </c>
      <c r="L60" s="83"/>
      <c r="M60" s="83"/>
      <c r="N60" s="83"/>
      <c r="O60" s="10"/>
      <c r="P60" s="11"/>
    </row>
    <row r="61" spans="1:16" x14ac:dyDescent="0.35">
      <c r="A61" s="26"/>
      <c r="B61" s="49" t="str">
        <f>B27</f>
        <v>Eduacational Assistants/Aides</v>
      </c>
      <c r="C61" s="87">
        <v>0</v>
      </c>
      <c r="D61" s="10"/>
      <c r="E61" s="78">
        <f t="shared" si="1"/>
        <v>0</v>
      </c>
      <c r="F61" s="78">
        <f t="shared" si="1"/>
        <v>0</v>
      </c>
      <c r="G61" s="78">
        <f t="shared" si="1"/>
        <v>0</v>
      </c>
      <c r="H61" s="78">
        <f t="shared" si="1"/>
        <v>0</v>
      </c>
      <c r="I61" s="78">
        <f t="shared" si="1"/>
        <v>0</v>
      </c>
      <c r="J61" s="83"/>
      <c r="K61" s="261"/>
      <c r="L61" s="83"/>
      <c r="M61" s="83"/>
      <c r="N61" s="83"/>
      <c r="O61" s="10"/>
      <c r="P61" s="11"/>
    </row>
    <row r="62" spans="1:16" ht="29" x14ac:dyDescent="0.35">
      <c r="A62" s="26"/>
      <c r="B62" s="49" t="str">
        <f>B28</f>
        <v>Elective Teachers</v>
      </c>
      <c r="C62" s="87">
        <v>35000</v>
      </c>
      <c r="D62" s="10"/>
      <c r="E62" s="78">
        <f t="shared" si="1"/>
        <v>35000</v>
      </c>
      <c r="F62" s="78">
        <f t="shared" si="1"/>
        <v>71750</v>
      </c>
      <c r="G62" s="78">
        <f t="shared" si="1"/>
        <v>73543.75</v>
      </c>
      <c r="H62" s="78">
        <f t="shared" si="1"/>
        <v>150764.68749999997</v>
      </c>
      <c r="I62" s="78">
        <f t="shared" si="1"/>
        <v>154533.80468749997</v>
      </c>
      <c r="J62" s="83"/>
      <c r="K62" s="261" t="s">
        <v>423</v>
      </c>
      <c r="L62" s="83"/>
      <c r="M62" s="83"/>
      <c r="N62" s="83"/>
      <c r="O62" s="10"/>
      <c r="P62" s="11"/>
    </row>
    <row r="63" spans="1:16" x14ac:dyDescent="0.35">
      <c r="A63" s="26"/>
      <c r="B63" s="49" t="str">
        <f>B29</f>
        <v>Other (Specify in Assumptions)</v>
      </c>
      <c r="C63" s="87">
        <v>0</v>
      </c>
      <c r="D63" s="10"/>
      <c r="E63" s="78">
        <f t="shared" si="1"/>
        <v>0</v>
      </c>
      <c r="F63" s="78">
        <f t="shared" si="1"/>
        <v>0</v>
      </c>
      <c r="G63" s="78">
        <f t="shared" si="1"/>
        <v>0</v>
      </c>
      <c r="H63" s="78">
        <f t="shared" si="1"/>
        <v>0</v>
      </c>
      <c r="I63" s="78">
        <f t="shared" si="1"/>
        <v>0</v>
      </c>
      <c r="J63" s="83"/>
      <c r="K63" s="261"/>
      <c r="L63" s="83"/>
      <c r="M63" s="83"/>
      <c r="N63" s="83"/>
      <c r="O63" s="10"/>
      <c r="P63" s="11"/>
    </row>
    <row r="64" spans="1:16" ht="27" customHeight="1" x14ac:dyDescent="0.35">
      <c r="A64" s="26"/>
      <c r="B64" s="39" t="s">
        <v>81</v>
      </c>
      <c r="C64" s="28"/>
      <c r="D64" s="28"/>
      <c r="E64" s="152">
        <f>SUM(E59:E63)</f>
        <v>407000</v>
      </c>
      <c r="F64" s="152">
        <f>SUM(F59:F63)</f>
        <v>641649.99999999988</v>
      </c>
      <c r="G64" s="152">
        <f>SUM(G59:G63)</f>
        <v>907740</v>
      </c>
      <c r="H64" s="152">
        <f>SUM(H59:H63)</f>
        <v>1208271.2812499998</v>
      </c>
      <c r="I64" s="152">
        <f>SUM(I59:I63)</f>
        <v>1445994.8867187498</v>
      </c>
      <c r="J64" s="81"/>
      <c r="K64" s="261"/>
      <c r="L64" s="81"/>
      <c r="M64" s="81"/>
      <c r="N64" s="81"/>
      <c r="O64" s="10"/>
      <c r="P64" s="11"/>
    </row>
    <row r="65" spans="1:16" x14ac:dyDescent="0.35">
      <c r="A65" s="26"/>
      <c r="B65" s="27"/>
      <c r="C65" s="28"/>
      <c r="D65" s="28"/>
      <c r="E65" s="139"/>
      <c r="F65" s="139"/>
      <c r="G65" s="139"/>
      <c r="H65" s="139"/>
      <c r="I65" s="139"/>
      <c r="J65" s="81"/>
      <c r="K65" s="275"/>
      <c r="L65" s="81"/>
      <c r="M65" s="81"/>
      <c r="N65" s="81"/>
      <c r="O65" s="10"/>
      <c r="P65" s="11"/>
    </row>
    <row r="66" spans="1:16" x14ac:dyDescent="0.35">
      <c r="A66" s="26"/>
      <c r="B66" s="42" t="s">
        <v>71</v>
      </c>
      <c r="C66" s="28"/>
      <c r="D66" s="28"/>
      <c r="E66" s="140"/>
      <c r="F66" s="140"/>
      <c r="G66" s="140"/>
      <c r="H66" s="140"/>
      <c r="I66" s="140"/>
      <c r="J66" s="160"/>
      <c r="K66" s="276"/>
      <c r="L66" s="160"/>
      <c r="M66" s="160"/>
      <c r="N66" s="160"/>
      <c r="O66" s="10"/>
      <c r="P66" s="11"/>
    </row>
    <row r="67" spans="1:16" ht="29" x14ac:dyDescent="0.35">
      <c r="A67" s="26"/>
      <c r="B67" s="49" t="str">
        <f>B33</f>
        <v>Clerical Staff</v>
      </c>
      <c r="C67" s="87">
        <v>32000</v>
      </c>
      <c r="D67" s="10"/>
      <c r="E67" s="78">
        <f t="shared" ref="E67:I71" si="2">$C67*E33*E$48</f>
        <v>32000</v>
      </c>
      <c r="F67" s="78">
        <f t="shared" si="2"/>
        <v>32800</v>
      </c>
      <c r="G67" s="78">
        <f t="shared" si="2"/>
        <v>33620</v>
      </c>
      <c r="H67" s="78">
        <f t="shared" si="2"/>
        <v>34460.499999999993</v>
      </c>
      <c r="I67" s="78">
        <f t="shared" si="2"/>
        <v>35322.01249999999</v>
      </c>
      <c r="J67" s="83"/>
      <c r="K67" s="261" t="s">
        <v>424</v>
      </c>
      <c r="L67" s="83"/>
      <c r="M67" s="83"/>
      <c r="N67" s="83"/>
      <c r="O67" s="10"/>
      <c r="P67" s="11"/>
    </row>
    <row r="68" spans="1:16" x14ac:dyDescent="0.35">
      <c r="A68" s="26"/>
      <c r="B68" s="49" t="str">
        <f>B34</f>
        <v>Custodial Staff</v>
      </c>
      <c r="C68" s="87">
        <v>0</v>
      </c>
      <c r="D68" s="10"/>
      <c r="E68" s="78">
        <f t="shared" si="2"/>
        <v>0</v>
      </c>
      <c r="F68" s="78">
        <f t="shared" si="2"/>
        <v>0</v>
      </c>
      <c r="G68" s="78">
        <f t="shared" si="2"/>
        <v>0</v>
      </c>
      <c r="H68" s="78">
        <f t="shared" si="2"/>
        <v>0</v>
      </c>
      <c r="I68" s="78">
        <f t="shared" si="2"/>
        <v>0</v>
      </c>
      <c r="J68" s="83"/>
      <c r="K68" s="261"/>
      <c r="L68" s="83"/>
      <c r="M68" s="83"/>
      <c r="N68" s="83"/>
      <c r="O68" s="10"/>
      <c r="P68" s="11"/>
    </row>
    <row r="69" spans="1:16" x14ac:dyDescent="0.35">
      <c r="A69" s="26"/>
      <c r="B69" s="49" t="str">
        <f>B35</f>
        <v>Operations</v>
      </c>
      <c r="C69" s="87">
        <v>37000</v>
      </c>
      <c r="D69" s="10"/>
      <c r="E69" s="78">
        <f t="shared" si="2"/>
        <v>0</v>
      </c>
      <c r="F69" s="78">
        <f t="shared" si="2"/>
        <v>0</v>
      </c>
      <c r="G69" s="78">
        <f t="shared" si="2"/>
        <v>0</v>
      </c>
      <c r="H69" s="78">
        <f t="shared" si="2"/>
        <v>0</v>
      </c>
      <c r="I69" s="78">
        <f t="shared" si="2"/>
        <v>40841.07695312499</v>
      </c>
      <c r="J69" s="83"/>
      <c r="K69" s="261" t="s">
        <v>425</v>
      </c>
      <c r="L69" s="83"/>
      <c r="M69" s="83"/>
      <c r="N69" s="83"/>
      <c r="O69" s="10"/>
      <c r="P69" s="11"/>
    </row>
    <row r="70" spans="1:16" ht="29" x14ac:dyDescent="0.35">
      <c r="A70" s="26"/>
      <c r="B70" s="49" t="str">
        <f>B36</f>
        <v>Social Workers/Counseling</v>
      </c>
      <c r="C70" s="87">
        <v>50000</v>
      </c>
      <c r="D70" s="10"/>
      <c r="E70" s="78">
        <f t="shared" si="2"/>
        <v>0</v>
      </c>
      <c r="F70" s="78">
        <f t="shared" si="2"/>
        <v>0</v>
      </c>
      <c r="G70" s="78">
        <f t="shared" si="2"/>
        <v>0</v>
      </c>
      <c r="H70" s="78">
        <f t="shared" si="2"/>
        <v>53844.531249999993</v>
      </c>
      <c r="I70" s="78">
        <f t="shared" si="2"/>
        <v>55190.644531249985</v>
      </c>
      <c r="J70" s="83"/>
      <c r="K70" s="261" t="s">
        <v>426</v>
      </c>
      <c r="L70" s="83"/>
      <c r="M70" s="83"/>
      <c r="N70" s="83"/>
      <c r="O70" s="10"/>
      <c r="P70" s="11"/>
    </row>
    <row r="71" spans="1:16" x14ac:dyDescent="0.35">
      <c r="A71" s="26"/>
      <c r="B71" s="49" t="str">
        <f>B37</f>
        <v>Other (Specify in Assumptions)</v>
      </c>
      <c r="C71" s="87">
        <v>0</v>
      </c>
      <c r="D71" s="10"/>
      <c r="E71" s="78">
        <f t="shared" si="2"/>
        <v>0</v>
      </c>
      <c r="F71" s="78">
        <f t="shared" si="2"/>
        <v>0</v>
      </c>
      <c r="G71" s="78">
        <f t="shared" si="2"/>
        <v>0</v>
      </c>
      <c r="H71" s="78">
        <f t="shared" si="2"/>
        <v>0</v>
      </c>
      <c r="I71" s="78">
        <f t="shared" si="2"/>
        <v>0</v>
      </c>
      <c r="J71" s="83"/>
      <c r="K71" s="261"/>
      <c r="L71" s="83"/>
      <c r="M71" s="83"/>
      <c r="N71" s="83"/>
      <c r="O71" s="10"/>
      <c r="P71" s="11"/>
    </row>
    <row r="72" spans="1:16" ht="29" x14ac:dyDescent="0.35">
      <c r="A72" s="26"/>
      <c r="B72" s="39" t="s">
        <v>82</v>
      </c>
      <c r="C72" s="28"/>
      <c r="D72" s="28"/>
      <c r="E72" s="152">
        <f>SUM(E67:E71)</f>
        <v>32000</v>
      </c>
      <c r="F72" s="152">
        <f>SUM(F67:F71)</f>
        <v>32800</v>
      </c>
      <c r="G72" s="152">
        <f>SUM(G67:G71)</f>
        <v>33620</v>
      </c>
      <c r="H72" s="152">
        <f>SUM(H67:H71)</f>
        <v>88305.031249999985</v>
      </c>
      <c r="I72" s="152">
        <f>SUM(I67:I71)</f>
        <v>131353.73398437497</v>
      </c>
      <c r="J72" s="81"/>
      <c r="K72" s="261"/>
      <c r="L72" s="81"/>
      <c r="M72" s="81"/>
      <c r="N72" s="81"/>
      <c r="O72" s="10"/>
      <c r="P72" s="11"/>
    </row>
    <row r="73" spans="1:16" x14ac:dyDescent="0.35">
      <c r="A73" s="26"/>
      <c r="B73" s="27"/>
      <c r="C73" s="28"/>
      <c r="D73" s="28"/>
      <c r="E73" s="139"/>
      <c r="F73" s="139"/>
      <c r="G73" s="139"/>
      <c r="H73" s="139"/>
      <c r="I73" s="139"/>
      <c r="J73" s="81"/>
      <c r="K73" s="277"/>
      <c r="L73" s="81"/>
      <c r="M73" s="81"/>
      <c r="N73" s="81"/>
      <c r="O73" s="10"/>
      <c r="P73" s="11"/>
    </row>
    <row r="74" spans="1:16" x14ac:dyDescent="0.35">
      <c r="A74" s="26"/>
      <c r="B74" s="89" t="s">
        <v>84</v>
      </c>
      <c r="C74" s="28"/>
      <c r="D74" s="28"/>
      <c r="E74" s="88">
        <v>0</v>
      </c>
      <c r="F74" s="88">
        <v>0</v>
      </c>
      <c r="G74" s="88">
        <v>0</v>
      </c>
      <c r="H74" s="88">
        <v>0</v>
      </c>
      <c r="I74" s="88">
        <v>0</v>
      </c>
      <c r="J74" s="153"/>
      <c r="K74" s="261"/>
      <c r="L74" s="153"/>
      <c r="M74" s="153"/>
      <c r="N74" s="153"/>
      <c r="O74" s="10"/>
      <c r="P74" s="11"/>
    </row>
    <row r="75" spans="1:16" x14ac:dyDescent="0.35">
      <c r="A75" s="26"/>
      <c r="B75" s="89" t="s">
        <v>84</v>
      </c>
      <c r="C75" s="28"/>
      <c r="D75" s="28"/>
      <c r="E75" s="88">
        <v>0</v>
      </c>
      <c r="F75" s="88">
        <v>0</v>
      </c>
      <c r="G75" s="88">
        <v>0</v>
      </c>
      <c r="H75" s="88">
        <v>0</v>
      </c>
      <c r="I75" s="88">
        <v>0</v>
      </c>
      <c r="J75" s="153"/>
      <c r="K75" s="261"/>
      <c r="L75" s="153"/>
      <c r="M75" s="153"/>
      <c r="N75" s="153"/>
      <c r="O75" s="10"/>
      <c r="P75" s="11"/>
    </row>
    <row r="76" spans="1:16" x14ac:dyDescent="0.35">
      <c r="A76" s="26"/>
      <c r="B76" s="89" t="s">
        <v>84</v>
      </c>
      <c r="C76" s="28"/>
      <c r="D76" s="28"/>
      <c r="E76" s="88">
        <v>0</v>
      </c>
      <c r="F76" s="88">
        <v>0</v>
      </c>
      <c r="G76" s="88">
        <v>0</v>
      </c>
      <c r="H76" s="88">
        <v>0</v>
      </c>
      <c r="I76" s="88">
        <v>0</v>
      </c>
      <c r="J76" s="153"/>
      <c r="K76" s="261"/>
      <c r="L76" s="153"/>
      <c r="M76" s="153"/>
      <c r="N76" s="153"/>
      <c r="O76" s="10"/>
      <c r="P76" s="11"/>
    </row>
    <row r="77" spans="1:16" x14ac:dyDescent="0.35">
      <c r="A77" s="26"/>
      <c r="B77" s="89" t="s">
        <v>84</v>
      </c>
      <c r="C77" s="28"/>
      <c r="D77" s="28"/>
      <c r="E77" s="88">
        <v>0</v>
      </c>
      <c r="F77" s="88">
        <v>0</v>
      </c>
      <c r="G77" s="88">
        <v>0</v>
      </c>
      <c r="H77" s="88">
        <v>0</v>
      </c>
      <c r="I77" s="88">
        <v>0</v>
      </c>
      <c r="J77" s="153"/>
      <c r="K77" s="261"/>
      <c r="L77" s="153"/>
      <c r="M77" s="153"/>
      <c r="N77" s="153"/>
      <c r="O77" s="10"/>
      <c r="P77" s="11"/>
    </row>
    <row r="78" spans="1:16" x14ac:dyDescent="0.35">
      <c r="A78" s="26"/>
      <c r="B78" s="27"/>
      <c r="C78" s="28"/>
      <c r="D78" s="28"/>
      <c r="E78" s="139"/>
      <c r="F78" s="139"/>
      <c r="G78" s="139"/>
      <c r="H78" s="139"/>
      <c r="I78" s="139"/>
      <c r="J78" s="81"/>
      <c r="K78" s="277"/>
      <c r="L78" s="81"/>
      <c r="M78" s="81"/>
      <c r="N78" s="81"/>
      <c r="O78" s="10"/>
      <c r="P78" s="11"/>
    </row>
    <row r="79" spans="1:16" ht="15" thickBot="1" x14ac:dyDescent="0.4">
      <c r="A79" s="26"/>
      <c r="B79" s="187" t="s">
        <v>83</v>
      </c>
      <c r="C79" s="188"/>
      <c r="D79" s="188"/>
      <c r="E79" s="230">
        <f>E56+E64+E72+SUM(E74:E77)</f>
        <v>594000</v>
      </c>
      <c r="F79" s="230">
        <f>F56+F64+F72+SUM(F74:F77)</f>
        <v>894824.99999999988</v>
      </c>
      <c r="G79" s="230">
        <f>G56+G64+G72+SUM(G74:G77)</f>
        <v>1230281.875</v>
      </c>
      <c r="H79" s="230">
        <f>H56+H64+H72+SUM(H74:H77)</f>
        <v>1592721.2343749998</v>
      </c>
      <c r="I79" s="230">
        <f>I56+I64+I72+SUM(I74:I77)</f>
        <v>1880897.1656249997</v>
      </c>
      <c r="J79" s="231"/>
      <c r="K79" s="278"/>
      <c r="L79" s="231"/>
      <c r="M79" s="231"/>
      <c r="N79" s="231"/>
      <c r="O79" s="23"/>
      <c r="P79" s="24"/>
    </row>
    <row r="80" spans="1:16" x14ac:dyDescent="0.35">
      <c r="A80" s="26"/>
      <c r="B80" s="191"/>
      <c r="C80" s="192"/>
      <c r="D80" s="232"/>
      <c r="E80" s="233"/>
      <c r="F80" s="233"/>
      <c r="G80" s="233"/>
      <c r="H80" s="233"/>
      <c r="I80" s="233"/>
      <c r="J80" s="233"/>
      <c r="K80" s="279"/>
      <c r="L80" s="233"/>
      <c r="M80" s="233"/>
      <c r="N80" s="233"/>
      <c r="O80" s="7"/>
      <c r="P80" s="8"/>
    </row>
    <row r="81" spans="1:16" ht="15" customHeight="1" x14ac:dyDescent="0.35">
      <c r="A81" s="26"/>
      <c r="B81" s="326" t="s">
        <v>119</v>
      </c>
      <c r="C81" s="284"/>
      <c r="D81" s="284"/>
      <c r="E81" s="284"/>
      <c r="F81" s="284"/>
      <c r="G81" s="284"/>
      <c r="H81" s="284"/>
      <c r="I81" s="284"/>
      <c r="J81" s="284"/>
      <c r="K81" s="284"/>
      <c r="L81" s="284"/>
      <c r="M81" s="284"/>
      <c r="N81" s="284"/>
      <c r="O81" s="284"/>
      <c r="P81" s="327"/>
    </row>
    <row r="82" spans="1:16" x14ac:dyDescent="0.35">
      <c r="A82" s="26"/>
      <c r="B82" s="27"/>
      <c r="C82" s="28"/>
      <c r="D82" s="1"/>
      <c r="E82" s="138"/>
      <c r="F82" s="138"/>
      <c r="G82" s="138"/>
      <c r="H82" s="138"/>
      <c r="I82" s="138"/>
      <c r="J82" s="138"/>
      <c r="K82" s="280"/>
      <c r="L82" s="138"/>
      <c r="M82" s="138"/>
      <c r="N82" s="138"/>
      <c r="O82" s="10"/>
      <c r="P82" s="11"/>
    </row>
    <row r="83" spans="1:16" x14ac:dyDescent="0.35">
      <c r="A83" s="26"/>
      <c r="B83" s="27"/>
      <c r="C83" s="28"/>
      <c r="D83" s="1"/>
      <c r="E83" s="29" t="s">
        <v>47</v>
      </c>
      <c r="F83" s="29" t="s">
        <v>48</v>
      </c>
      <c r="G83" s="29" t="s">
        <v>49</v>
      </c>
      <c r="H83" s="29" t="s">
        <v>50</v>
      </c>
      <c r="I83" s="29" t="s">
        <v>51</v>
      </c>
      <c r="J83" s="57"/>
      <c r="K83" s="265"/>
      <c r="L83" s="57"/>
      <c r="M83" s="57"/>
      <c r="N83" s="57"/>
      <c r="O83" s="10"/>
      <c r="P83" s="11"/>
    </row>
    <row r="84" spans="1:16" x14ac:dyDescent="0.35">
      <c r="A84" s="26"/>
      <c r="B84" s="27"/>
      <c r="C84" s="28"/>
      <c r="D84" s="1"/>
      <c r="E84" s="29" t="str">
        <f>E11</f>
        <v>2021-22</v>
      </c>
      <c r="F84" s="29" t="str">
        <f>F11</f>
        <v>2022-23</v>
      </c>
      <c r="G84" s="29" t="str">
        <f>G11</f>
        <v>2023-24</v>
      </c>
      <c r="H84" s="29" t="str">
        <f>H11</f>
        <v>2024-25</v>
      </c>
      <c r="I84" s="29" t="str">
        <f>I11</f>
        <v>2026-27</v>
      </c>
      <c r="J84" s="57"/>
      <c r="K84" s="265"/>
      <c r="L84" s="57"/>
      <c r="M84" s="57"/>
      <c r="N84" s="57"/>
      <c r="O84" s="10"/>
      <c r="P84" s="11"/>
    </row>
    <row r="85" spans="1:16" x14ac:dyDescent="0.35">
      <c r="A85" s="26"/>
      <c r="B85" s="27"/>
      <c r="C85" s="58" t="s">
        <v>79</v>
      </c>
      <c r="D85" s="1"/>
      <c r="E85" s="138"/>
      <c r="F85" s="138"/>
      <c r="G85" s="138"/>
      <c r="H85" s="138"/>
      <c r="I85" s="138"/>
      <c r="J85" s="57"/>
      <c r="K85" s="274" t="s">
        <v>133</v>
      </c>
      <c r="L85" s="57"/>
      <c r="M85" s="57"/>
      <c r="N85" s="57"/>
      <c r="O85" s="10"/>
      <c r="P85" s="11"/>
    </row>
    <row r="86" spans="1:16" x14ac:dyDescent="0.35">
      <c r="A86" s="26"/>
      <c r="B86" s="49" t="s">
        <v>86</v>
      </c>
      <c r="C86" s="91">
        <v>6.2E-2</v>
      </c>
      <c r="D86" s="1"/>
      <c r="E86" s="87">
        <f t="shared" ref="E86" si="3">$C$86*E$79</f>
        <v>36828</v>
      </c>
      <c r="F86" s="87">
        <f t="shared" ref="F86:I86" si="4">$C$86*F$79</f>
        <v>55479.149999999994</v>
      </c>
      <c r="G86" s="87">
        <f t="shared" si="4"/>
        <v>76277.476249999992</v>
      </c>
      <c r="H86" s="87">
        <f t="shared" si="4"/>
        <v>98748.716531249986</v>
      </c>
      <c r="I86" s="87">
        <f t="shared" si="4"/>
        <v>116615.62426874998</v>
      </c>
      <c r="J86" s="162"/>
      <c r="K86" s="261" t="s">
        <v>285</v>
      </c>
      <c r="L86" s="162"/>
      <c r="M86" s="162"/>
      <c r="N86" s="162"/>
      <c r="O86" s="10"/>
      <c r="P86" s="11"/>
    </row>
    <row r="87" spans="1:16" x14ac:dyDescent="0.35">
      <c r="A87" s="26"/>
      <c r="B87" s="49" t="s">
        <v>87</v>
      </c>
      <c r="C87" s="91">
        <v>1.4500000000000001E-2</v>
      </c>
      <c r="D87" s="1"/>
      <c r="E87" s="87">
        <f>$C$87*E$79</f>
        <v>8613</v>
      </c>
      <c r="F87" s="87">
        <f>$C$87*F$79</f>
        <v>12974.9625</v>
      </c>
      <c r="G87" s="87">
        <f>$C$87*G$79</f>
        <v>17839.087187500001</v>
      </c>
      <c r="H87" s="87">
        <f>$C$87*H$79</f>
        <v>23094.457898437497</v>
      </c>
      <c r="I87" s="87">
        <f>$C$87*I$79</f>
        <v>27273.008901562498</v>
      </c>
      <c r="J87" s="162"/>
      <c r="K87" s="261" t="s">
        <v>284</v>
      </c>
      <c r="L87" s="162"/>
      <c r="M87" s="162"/>
      <c r="N87" s="162"/>
      <c r="O87" s="10"/>
      <c r="P87" s="11"/>
    </row>
    <row r="88" spans="1:16" x14ac:dyDescent="0.35">
      <c r="A88" s="26"/>
      <c r="B88" s="49" t="s">
        <v>88</v>
      </c>
      <c r="C88" s="245">
        <v>400</v>
      </c>
      <c r="D88" s="1"/>
      <c r="E88" s="87">
        <f>$C88*E40</f>
        <v>4800</v>
      </c>
      <c r="F88" s="87">
        <f>$C88*F40</f>
        <v>7200</v>
      </c>
      <c r="G88" s="87">
        <f>$C88*G40</f>
        <v>9600</v>
      </c>
      <c r="H88" s="87">
        <f>$C88*H40</f>
        <v>12400</v>
      </c>
      <c r="I88" s="87">
        <f>$C88*I40</f>
        <v>14400</v>
      </c>
      <c r="J88" s="162"/>
      <c r="K88" s="261" t="s">
        <v>283</v>
      </c>
      <c r="L88" s="162"/>
      <c r="M88" s="162"/>
      <c r="N88" s="162"/>
      <c r="O88" s="10"/>
      <c r="P88" s="11"/>
    </row>
    <row r="89" spans="1:16" x14ac:dyDescent="0.35">
      <c r="A89" s="26"/>
      <c r="B89" s="49" t="s">
        <v>93</v>
      </c>
      <c r="C89" s="91">
        <v>2.5000000000000001E-3</v>
      </c>
      <c r="D89" s="1"/>
      <c r="E89" s="87">
        <f>$C89*E79</f>
        <v>1485</v>
      </c>
      <c r="F89" s="87">
        <f>$C89*F79</f>
        <v>2237.0624999999995</v>
      </c>
      <c r="G89" s="87">
        <f>$C89*G79</f>
        <v>3075.7046875000001</v>
      </c>
      <c r="H89" s="87">
        <f>$C89*H79</f>
        <v>3981.8030859374994</v>
      </c>
      <c r="I89" s="87">
        <f>$C89*I79</f>
        <v>4702.242914062499</v>
      </c>
      <c r="J89" s="162"/>
      <c r="K89" s="261" t="s">
        <v>311</v>
      </c>
      <c r="L89" s="162"/>
      <c r="M89" s="162"/>
      <c r="N89" s="162"/>
      <c r="O89" s="10"/>
      <c r="P89" s="11"/>
    </row>
    <row r="90" spans="1:16" x14ac:dyDescent="0.35">
      <c r="A90" s="26"/>
      <c r="B90" s="49" t="s">
        <v>89</v>
      </c>
      <c r="C90" s="91">
        <v>1.2500000000000001E-2</v>
      </c>
      <c r="D90" s="1"/>
      <c r="E90" s="87">
        <f>$C90*E$79</f>
        <v>7425</v>
      </c>
      <c r="F90" s="87">
        <f>$C90*F$79</f>
        <v>11185.3125</v>
      </c>
      <c r="G90" s="87">
        <f>$C90*G$79</f>
        <v>15378.5234375</v>
      </c>
      <c r="H90" s="87">
        <f>$C90*H$79</f>
        <v>19909.015429687497</v>
      </c>
      <c r="I90" s="87">
        <f>$C90*I$79</f>
        <v>23511.214570312499</v>
      </c>
      <c r="J90" s="162"/>
      <c r="K90" s="261" t="s">
        <v>312</v>
      </c>
      <c r="L90" s="162"/>
      <c r="M90" s="162"/>
      <c r="N90" s="162"/>
      <c r="O90" s="10"/>
      <c r="P90" s="11"/>
    </row>
    <row r="91" spans="1:16" x14ac:dyDescent="0.35">
      <c r="A91" s="26"/>
      <c r="B91" s="49" t="s">
        <v>120</v>
      </c>
      <c r="C91" s="91">
        <v>0</v>
      </c>
      <c r="D91" s="1"/>
      <c r="E91" s="87">
        <v>0</v>
      </c>
      <c r="F91" s="87">
        <v>0</v>
      </c>
      <c r="G91" s="87">
        <v>0</v>
      </c>
      <c r="H91" s="87">
        <v>0</v>
      </c>
      <c r="I91" s="87">
        <v>0</v>
      </c>
      <c r="J91" s="162"/>
      <c r="K91" s="261" t="s">
        <v>310</v>
      </c>
      <c r="L91" s="162"/>
      <c r="M91" s="162"/>
      <c r="N91" s="162"/>
      <c r="O91" s="10"/>
      <c r="P91" s="11"/>
    </row>
    <row r="92" spans="1:16" x14ac:dyDescent="0.35">
      <c r="A92" s="26"/>
      <c r="B92" s="27"/>
      <c r="C92" s="28"/>
      <c r="D92" s="1"/>
      <c r="E92" s="138"/>
      <c r="F92" s="138"/>
      <c r="G92" s="138"/>
      <c r="H92" s="138"/>
      <c r="I92" s="138"/>
      <c r="J92" s="57"/>
      <c r="K92" s="265"/>
      <c r="L92" s="57"/>
      <c r="M92" s="57"/>
      <c r="N92" s="57"/>
      <c r="O92" s="10"/>
      <c r="P92" s="11"/>
    </row>
    <row r="93" spans="1:16" ht="40.9" customHeight="1" x14ac:dyDescent="0.35">
      <c r="A93" s="26"/>
      <c r="B93" s="27"/>
      <c r="C93" s="141" t="s">
        <v>185</v>
      </c>
      <c r="D93" s="1"/>
      <c r="E93" s="91">
        <v>0</v>
      </c>
      <c r="F93" s="91">
        <v>0.04</v>
      </c>
      <c r="G93" s="91">
        <v>0.04</v>
      </c>
      <c r="H93" s="91">
        <v>0.04</v>
      </c>
      <c r="I93" s="91">
        <v>0.04</v>
      </c>
      <c r="J93" s="161"/>
      <c r="K93" s="272"/>
      <c r="L93" s="161"/>
      <c r="M93" s="161"/>
      <c r="N93" s="161"/>
      <c r="O93" s="10"/>
      <c r="P93" s="11"/>
    </row>
    <row r="94" spans="1:16" x14ac:dyDescent="0.35">
      <c r="A94" s="26"/>
      <c r="B94" s="27"/>
      <c r="C94" s="61" t="s">
        <v>94</v>
      </c>
      <c r="D94" s="1"/>
      <c r="E94" s="62">
        <f>100%+E93</f>
        <v>1</v>
      </c>
      <c r="F94" s="62">
        <f>E94*(1+F93)</f>
        <v>1.04</v>
      </c>
      <c r="G94" s="62">
        <f>F94*(1+G93)</f>
        <v>1.0816000000000001</v>
      </c>
      <c r="H94" s="62">
        <f>G94*(1+H93)</f>
        <v>1.1248640000000001</v>
      </c>
      <c r="I94" s="62">
        <f>H94*(1+I93)</f>
        <v>1.1698585600000002</v>
      </c>
      <c r="J94" s="62"/>
      <c r="K94" s="273"/>
      <c r="L94" s="62"/>
      <c r="M94" s="62"/>
      <c r="N94" s="62"/>
      <c r="O94" s="10"/>
      <c r="P94" s="11"/>
    </row>
    <row r="95" spans="1:16" x14ac:dyDescent="0.35">
      <c r="A95" s="26"/>
      <c r="B95" s="27"/>
      <c r="C95" s="28"/>
      <c r="D95" s="1"/>
      <c r="E95" s="138"/>
      <c r="F95" s="138"/>
      <c r="G95" s="138"/>
      <c r="H95" s="138"/>
      <c r="I95" s="138"/>
      <c r="J95" s="57"/>
      <c r="K95" s="265"/>
      <c r="L95" s="57"/>
      <c r="M95" s="57"/>
      <c r="N95" s="57"/>
      <c r="O95" s="10"/>
      <c r="P95" s="11"/>
    </row>
    <row r="96" spans="1:16" ht="29" x14ac:dyDescent="0.35">
      <c r="A96" s="26"/>
      <c r="B96" s="49" t="s">
        <v>90</v>
      </c>
      <c r="C96" s="87">
        <f>300*12</f>
        <v>3600</v>
      </c>
      <c r="D96" s="1"/>
      <c r="E96" s="87">
        <f>$C96*E$40</f>
        <v>43200</v>
      </c>
      <c r="F96" s="87">
        <f>$C96*F$40*F94</f>
        <v>67392</v>
      </c>
      <c r="G96" s="87">
        <f>$C96*G$40*G94</f>
        <v>93450.240000000005</v>
      </c>
      <c r="H96" s="87">
        <f>$C96*H$40*H94</f>
        <v>125534.8224</v>
      </c>
      <c r="I96" s="87">
        <f>$C96*I$40*I94</f>
        <v>151613.66937600003</v>
      </c>
      <c r="J96" s="162"/>
      <c r="K96" s="261" t="s">
        <v>427</v>
      </c>
      <c r="L96" s="162"/>
      <c r="M96" s="162"/>
      <c r="N96" s="162"/>
      <c r="O96" s="10"/>
      <c r="P96" s="11"/>
    </row>
    <row r="97" spans="1:16" ht="29" x14ac:dyDescent="0.35">
      <c r="A97" s="26"/>
      <c r="B97" s="49" t="s">
        <v>91</v>
      </c>
      <c r="C97" s="87">
        <f>75*12</f>
        <v>900</v>
      </c>
      <c r="D97" s="1"/>
      <c r="E97" s="87">
        <f>$C97*E$40</f>
        <v>10800</v>
      </c>
      <c r="F97" s="87">
        <f t="shared" ref="F97:I98" si="5">$C97*F$40</f>
        <v>16200</v>
      </c>
      <c r="G97" s="87">
        <f t="shared" si="5"/>
        <v>21600</v>
      </c>
      <c r="H97" s="87">
        <f t="shared" si="5"/>
        <v>27900</v>
      </c>
      <c r="I97" s="87">
        <f t="shared" si="5"/>
        <v>32400</v>
      </c>
      <c r="J97" s="162"/>
      <c r="K97" s="261" t="s">
        <v>428</v>
      </c>
      <c r="L97" s="162"/>
      <c r="M97" s="162"/>
      <c r="N97" s="162"/>
      <c r="O97" s="10"/>
      <c r="P97" s="11"/>
    </row>
    <row r="98" spans="1:16" ht="29" x14ac:dyDescent="0.35">
      <c r="A98" s="26"/>
      <c r="B98" s="49" t="s">
        <v>92</v>
      </c>
      <c r="C98" s="87">
        <f>25*12</f>
        <v>300</v>
      </c>
      <c r="D98" s="1"/>
      <c r="E98" s="87">
        <f>$C98*E$40</f>
        <v>3600</v>
      </c>
      <c r="F98" s="87">
        <f t="shared" si="5"/>
        <v>5400</v>
      </c>
      <c r="G98" s="87">
        <f t="shared" si="5"/>
        <v>7200</v>
      </c>
      <c r="H98" s="87">
        <f t="shared" si="5"/>
        <v>9300</v>
      </c>
      <c r="I98" s="87">
        <f t="shared" si="5"/>
        <v>10800</v>
      </c>
      <c r="J98" s="162"/>
      <c r="K98" s="261" t="s">
        <v>429</v>
      </c>
      <c r="L98" s="162"/>
      <c r="M98" s="162"/>
      <c r="N98" s="162"/>
      <c r="O98" s="10"/>
      <c r="P98" s="11"/>
    </row>
    <row r="99" spans="1:16" x14ac:dyDescent="0.35">
      <c r="A99" s="26"/>
      <c r="B99" s="27"/>
      <c r="C99" s="28"/>
      <c r="D99" s="1"/>
      <c r="E99" s="138"/>
      <c r="F99" s="138"/>
      <c r="G99" s="138"/>
      <c r="H99" s="138"/>
      <c r="I99" s="138"/>
      <c r="J99" s="57"/>
      <c r="K99" s="265"/>
      <c r="L99" s="57"/>
      <c r="M99" s="57"/>
      <c r="N99" s="57"/>
      <c r="O99" s="10"/>
      <c r="P99" s="11"/>
    </row>
    <row r="100" spans="1:16" ht="29" x14ac:dyDescent="0.35">
      <c r="A100" s="26"/>
      <c r="B100" s="49" t="s">
        <v>180</v>
      </c>
      <c r="C100" s="91">
        <v>0.1046</v>
      </c>
      <c r="D100" s="1"/>
      <c r="E100" s="87">
        <f t="shared" ref="E100" si="6">$C$100*E$79</f>
        <v>62132.4</v>
      </c>
      <c r="F100" s="87">
        <f t="shared" ref="F100:I100" si="7">$C$100*F$79</f>
        <v>93598.694999999992</v>
      </c>
      <c r="G100" s="87">
        <f t="shared" si="7"/>
        <v>128687.484125</v>
      </c>
      <c r="H100" s="87">
        <f t="shared" si="7"/>
        <v>166598.64111562498</v>
      </c>
      <c r="I100" s="87">
        <f t="shared" si="7"/>
        <v>196741.84352437497</v>
      </c>
      <c r="J100" s="162"/>
      <c r="K100" s="261" t="s">
        <v>336</v>
      </c>
      <c r="L100" s="162"/>
      <c r="M100" s="162"/>
      <c r="N100" s="162"/>
      <c r="O100" s="10"/>
      <c r="P100" s="11"/>
    </row>
    <row r="101" spans="1:16" x14ac:dyDescent="0.35">
      <c r="A101" s="26"/>
      <c r="B101" s="49" t="s">
        <v>181</v>
      </c>
      <c r="C101" s="91">
        <v>0</v>
      </c>
      <c r="D101" s="1"/>
      <c r="E101" s="87">
        <v>0</v>
      </c>
      <c r="F101" s="87">
        <v>0</v>
      </c>
      <c r="G101" s="87">
        <v>0</v>
      </c>
      <c r="H101" s="87">
        <v>0</v>
      </c>
      <c r="I101" s="87">
        <v>0</v>
      </c>
      <c r="J101" s="162"/>
      <c r="K101" s="261"/>
      <c r="L101" s="162"/>
      <c r="M101" s="162"/>
      <c r="N101" s="162"/>
      <c r="O101" s="10"/>
      <c r="P101" s="11"/>
    </row>
    <row r="102" spans="1:16" x14ac:dyDescent="0.35">
      <c r="A102" s="26"/>
      <c r="B102" s="49" t="s">
        <v>183</v>
      </c>
      <c r="C102" s="91">
        <v>0</v>
      </c>
      <c r="D102" s="1"/>
      <c r="E102" s="87">
        <v>0</v>
      </c>
      <c r="F102" s="87">
        <v>0</v>
      </c>
      <c r="G102" s="87">
        <v>0</v>
      </c>
      <c r="H102" s="87">
        <v>0</v>
      </c>
      <c r="I102" s="87">
        <v>0</v>
      </c>
      <c r="J102" s="162"/>
      <c r="K102" s="261"/>
      <c r="L102" s="162"/>
      <c r="M102" s="162"/>
      <c r="N102" s="162"/>
      <c r="O102" s="10"/>
      <c r="P102" s="11"/>
    </row>
    <row r="103" spans="1:16" x14ac:dyDescent="0.35">
      <c r="A103" s="26"/>
      <c r="B103" s="49" t="s">
        <v>182</v>
      </c>
      <c r="C103" s="91">
        <v>0</v>
      </c>
      <c r="D103" s="1"/>
      <c r="E103" s="87">
        <v>0</v>
      </c>
      <c r="F103" s="87">
        <v>0</v>
      </c>
      <c r="G103" s="87">
        <v>0</v>
      </c>
      <c r="H103" s="87">
        <v>0</v>
      </c>
      <c r="I103" s="87">
        <v>0</v>
      </c>
      <c r="J103" s="162"/>
      <c r="K103" s="261"/>
      <c r="L103" s="162"/>
      <c r="M103" s="162"/>
      <c r="N103" s="162"/>
      <c r="O103" s="10"/>
      <c r="P103" s="11"/>
    </row>
    <row r="104" spans="1:16" x14ac:dyDescent="0.35">
      <c r="A104" s="26"/>
      <c r="B104" s="49" t="s">
        <v>184</v>
      </c>
      <c r="C104" s="91">
        <v>0</v>
      </c>
      <c r="D104" s="1"/>
      <c r="E104" s="87">
        <v>0</v>
      </c>
      <c r="F104" s="87">
        <v>0</v>
      </c>
      <c r="G104" s="87">
        <v>0</v>
      </c>
      <c r="H104" s="87">
        <v>0</v>
      </c>
      <c r="I104" s="87">
        <v>0</v>
      </c>
      <c r="J104" s="162"/>
      <c r="K104" s="261"/>
      <c r="L104" s="162"/>
      <c r="M104" s="162"/>
      <c r="N104" s="162"/>
      <c r="O104" s="10"/>
      <c r="P104" s="11"/>
    </row>
    <row r="105" spans="1:16" x14ac:dyDescent="0.35">
      <c r="A105" s="26"/>
      <c r="B105" s="49" t="s">
        <v>121</v>
      </c>
      <c r="C105" s="91">
        <v>0</v>
      </c>
      <c r="D105" s="1"/>
      <c r="E105" s="87">
        <v>0</v>
      </c>
      <c r="F105" s="87">
        <v>0</v>
      </c>
      <c r="G105" s="87">
        <v>0</v>
      </c>
      <c r="H105" s="87">
        <v>0</v>
      </c>
      <c r="I105" s="87">
        <v>0</v>
      </c>
      <c r="J105" s="162"/>
      <c r="K105" s="261"/>
      <c r="L105" s="162"/>
      <c r="M105" s="162"/>
      <c r="N105" s="162"/>
      <c r="O105" s="10"/>
      <c r="P105" s="11"/>
    </row>
    <row r="106" spans="1:16" ht="15" thickBot="1" x14ac:dyDescent="0.4">
      <c r="A106" s="35"/>
      <c r="B106" s="50"/>
      <c r="C106" s="51"/>
      <c r="D106" s="51"/>
      <c r="E106" s="52"/>
      <c r="F106" s="52"/>
      <c r="G106" s="52"/>
      <c r="H106" s="52"/>
      <c r="I106" s="52"/>
      <c r="J106" s="52"/>
      <c r="K106" s="281"/>
      <c r="L106" s="52"/>
      <c r="M106" s="52"/>
      <c r="N106" s="52"/>
      <c r="O106" s="23"/>
      <c r="P106" s="24"/>
    </row>
  </sheetData>
  <sheetProtection formatColumns="0" formatRows="0"/>
  <mergeCells count="6">
    <mergeCell ref="B81:P81"/>
    <mergeCell ref="B3:P3"/>
    <mergeCell ref="B4:P4"/>
    <mergeCell ref="B5:P5"/>
    <mergeCell ref="B8:P8"/>
    <mergeCell ref="B42:P42"/>
  </mergeCells>
  <pageMargins left="0.7" right="0.7" top="0.75" bottom="0.75" header="0.3" footer="0.3"/>
  <pageSetup scale="57" fitToHeight="3" orientation="landscape" horizontalDpi="1200" verticalDpi="1200" r:id="rId1"/>
  <headerFooter>
    <oddFooter>&amp;L&amp;A&amp;RPage &amp;P of &amp;N</oddFooter>
  </headerFooter>
  <rowBreaks count="2" manualBreakCount="2">
    <brk id="40" max="16" man="1"/>
    <brk id="79"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H189"/>
  <sheetViews>
    <sheetView showGridLines="0" topLeftCell="A130" zoomScale="75" zoomScaleNormal="75" zoomScaleSheetLayoutView="100" workbookViewId="0">
      <selection activeCell="F153" sqref="F153"/>
    </sheetView>
  </sheetViews>
  <sheetFormatPr defaultColWidth="8.7265625" defaultRowHeight="14.5" x14ac:dyDescent="0.35"/>
  <cols>
    <col min="1" max="1" width="4.7265625" style="5" customWidth="1"/>
    <col min="2" max="2" width="42.453125" style="5" bestFit="1" customWidth="1"/>
    <col min="3" max="3" width="23.26953125" style="5" customWidth="1"/>
    <col min="4" max="4" width="3.453125" style="5" customWidth="1"/>
    <col min="5" max="5" width="25.453125" style="5" customWidth="1"/>
    <col min="6" max="6" width="94.81640625" style="33" bestFit="1" customWidth="1"/>
    <col min="7" max="9" width="4.7265625" style="5" customWidth="1"/>
    <col min="10" max="16384" width="8.7265625" style="5"/>
  </cols>
  <sheetData>
    <row r="1" spans="1:8" ht="15" thickBot="1" x14ac:dyDescent="0.4"/>
    <row r="2" spans="1:8" x14ac:dyDescent="0.35">
      <c r="B2" s="6"/>
      <c r="C2" s="7"/>
      <c r="D2" s="7"/>
      <c r="E2" s="7"/>
      <c r="F2" s="55"/>
      <c r="G2" s="7"/>
      <c r="H2" s="8"/>
    </row>
    <row r="3" spans="1:8" ht="18.5" x14ac:dyDescent="0.45">
      <c r="B3" s="9"/>
      <c r="C3" s="10"/>
      <c r="D3" s="10"/>
      <c r="E3" s="184" t="str">
        <f>'1) Proposed School Information'!E12</f>
        <v>Luceo Collegiate School for the Arts Charter School</v>
      </c>
      <c r="F3" s="56"/>
      <c r="G3" s="10"/>
      <c r="H3" s="11"/>
    </row>
    <row r="4" spans="1:8" ht="18.5" x14ac:dyDescent="0.45">
      <c r="B4" s="9"/>
      <c r="C4" s="10"/>
      <c r="D4" s="10"/>
      <c r="E4" s="184" t="s">
        <v>17</v>
      </c>
      <c r="F4" s="56"/>
      <c r="G4" s="10"/>
      <c r="H4" s="11"/>
    </row>
    <row r="5" spans="1:8" ht="18.5" x14ac:dyDescent="0.45">
      <c r="B5" s="9"/>
      <c r="C5" s="10"/>
      <c r="D5" s="10"/>
      <c r="E5" s="184" t="s">
        <v>101</v>
      </c>
      <c r="F5" s="56"/>
      <c r="G5" s="10"/>
      <c r="H5" s="11"/>
    </row>
    <row r="6" spans="1:8" x14ac:dyDescent="0.35">
      <c r="B6" s="9"/>
      <c r="C6" s="10"/>
      <c r="D6" s="10"/>
      <c r="E6" s="10"/>
      <c r="F6" s="36"/>
      <c r="G6" s="10"/>
      <c r="H6" s="11"/>
    </row>
    <row r="7" spans="1:8" x14ac:dyDescent="0.35">
      <c r="B7" s="9"/>
      <c r="C7" s="10"/>
      <c r="D7" s="10"/>
      <c r="E7" s="10"/>
      <c r="F7" s="36"/>
      <c r="G7" s="10"/>
      <c r="H7" s="11"/>
    </row>
    <row r="8" spans="1:8" ht="14.65" customHeight="1" x14ac:dyDescent="0.35">
      <c r="B8" s="9"/>
      <c r="C8" s="284" t="s">
        <v>187</v>
      </c>
      <c r="D8" s="293"/>
      <c r="E8" s="293"/>
      <c r="F8" s="293"/>
      <c r="G8" s="10"/>
      <c r="H8" s="11"/>
    </row>
    <row r="9" spans="1:8" x14ac:dyDescent="0.35">
      <c r="B9" s="9"/>
      <c r="C9" s="10"/>
      <c r="D9" s="10"/>
      <c r="E9" s="10"/>
      <c r="F9" s="36"/>
      <c r="G9" s="10"/>
      <c r="H9" s="11"/>
    </row>
    <row r="10" spans="1:8" x14ac:dyDescent="0.35">
      <c r="A10" s="26"/>
      <c r="B10" s="27"/>
      <c r="C10" s="28"/>
      <c r="D10" s="1"/>
      <c r="E10" s="29" t="s">
        <v>47</v>
      </c>
      <c r="F10" s="57"/>
      <c r="G10" s="10"/>
      <c r="H10" s="11"/>
    </row>
    <row r="11" spans="1:8" x14ac:dyDescent="0.35">
      <c r="A11" s="26"/>
      <c r="B11" s="27"/>
      <c r="C11" s="28"/>
      <c r="D11" s="1"/>
      <c r="E11" s="29" t="str">
        <f>IF('1) Proposed School Information'!E21="Select Year"," ",'1) Proposed School Information'!E21)</f>
        <v>2021-22</v>
      </c>
      <c r="F11" s="57"/>
      <c r="G11" s="10"/>
      <c r="H11" s="11"/>
    </row>
    <row r="12" spans="1:8" x14ac:dyDescent="0.35">
      <c r="A12" s="26"/>
      <c r="B12" s="27"/>
      <c r="C12" s="58" t="s">
        <v>130</v>
      </c>
      <c r="D12" s="1"/>
      <c r="E12" s="59">
        <v>0</v>
      </c>
      <c r="F12" s="60"/>
      <c r="G12" s="10"/>
      <c r="H12" s="11"/>
    </row>
    <row r="13" spans="1:8" x14ac:dyDescent="0.35">
      <c r="A13" s="26"/>
      <c r="B13" s="27"/>
      <c r="C13" s="61" t="s">
        <v>94</v>
      </c>
      <c r="D13" s="1"/>
      <c r="E13" s="62">
        <f>100%+E12</f>
        <v>1</v>
      </c>
      <c r="F13" s="62"/>
      <c r="G13" s="10"/>
      <c r="H13" s="11"/>
    </row>
    <row r="14" spans="1:8" x14ac:dyDescent="0.35">
      <c r="A14" s="26"/>
      <c r="B14" s="27"/>
      <c r="C14" s="61"/>
      <c r="D14" s="1"/>
      <c r="E14" s="62"/>
      <c r="F14" s="62"/>
      <c r="G14" s="10"/>
      <c r="H14" s="11"/>
    </row>
    <row r="15" spans="1:8" x14ac:dyDescent="0.35">
      <c r="A15" s="26"/>
      <c r="B15" s="27"/>
      <c r="C15" s="61"/>
      <c r="D15" s="1"/>
      <c r="E15" s="62"/>
      <c r="F15" s="62"/>
      <c r="G15" s="10"/>
      <c r="H15" s="11"/>
    </row>
    <row r="16" spans="1:8" x14ac:dyDescent="0.35">
      <c r="A16" s="26"/>
      <c r="B16" s="27"/>
      <c r="C16" s="61"/>
      <c r="D16" s="1"/>
      <c r="E16" s="62"/>
      <c r="F16" s="62"/>
      <c r="G16" s="10"/>
      <c r="H16" s="11"/>
    </row>
    <row r="17" spans="2:8" x14ac:dyDescent="0.35">
      <c r="B17" s="42" t="s">
        <v>102</v>
      </c>
      <c r="C17" s="58" t="s">
        <v>134</v>
      </c>
      <c r="D17" s="28"/>
      <c r="E17" s="30"/>
      <c r="F17" s="63" t="s">
        <v>133</v>
      </c>
      <c r="G17" s="10"/>
      <c r="H17" s="11"/>
    </row>
    <row r="18" spans="2:8" x14ac:dyDescent="0.35">
      <c r="B18" s="49" t="s">
        <v>104</v>
      </c>
      <c r="C18" s="87">
        <v>8464</v>
      </c>
      <c r="D18" s="10"/>
      <c r="E18" s="87">
        <f>C18*'2) Student Assumptions'!$E$29</f>
        <v>1015680</v>
      </c>
      <c r="F18" s="165" t="s">
        <v>430</v>
      </c>
      <c r="G18" s="10"/>
      <c r="H18" s="11"/>
    </row>
    <row r="19" spans="2:8" x14ac:dyDescent="0.35">
      <c r="B19" s="49" t="s">
        <v>105</v>
      </c>
      <c r="C19" s="87">
        <v>199</v>
      </c>
      <c r="D19" s="10"/>
      <c r="E19" s="87">
        <f>C19*'2) Student Assumptions'!$E$29</f>
        <v>23880</v>
      </c>
      <c r="F19" s="165" t="s">
        <v>431</v>
      </c>
      <c r="G19" s="10"/>
      <c r="H19" s="11"/>
    </row>
    <row r="20" spans="2:8" x14ac:dyDescent="0.35">
      <c r="B20" s="49" t="s">
        <v>106</v>
      </c>
      <c r="C20" s="87">
        <v>300</v>
      </c>
      <c r="D20" s="10"/>
      <c r="E20" s="87">
        <f>C20*'2) Student Assumptions'!$E$29</f>
        <v>36000</v>
      </c>
      <c r="F20" s="165" t="s">
        <v>432</v>
      </c>
      <c r="G20" s="10"/>
      <c r="H20" s="11"/>
    </row>
    <row r="21" spans="2:8" x14ac:dyDescent="0.35">
      <c r="B21" s="89" t="s">
        <v>112</v>
      </c>
      <c r="C21" s="87">
        <v>0</v>
      </c>
      <c r="D21" s="10"/>
      <c r="E21" s="87">
        <v>0</v>
      </c>
      <c r="F21" s="165"/>
      <c r="G21" s="10"/>
      <c r="H21" s="11"/>
    </row>
    <row r="22" spans="2:8" x14ac:dyDescent="0.35">
      <c r="B22" s="89" t="s">
        <v>112</v>
      </c>
      <c r="C22" s="87">
        <v>0</v>
      </c>
      <c r="D22" s="10"/>
      <c r="E22" s="87">
        <v>0</v>
      </c>
      <c r="F22" s="165"/>
      <c r="G22" s="10"/>
      <c r="H22" s="11"/>
    </row>
    <row r="23" spans="2:8" s="36" customFormat="1" x14ac:dyDescent="0.35">
      <c r="B23" s="47"/>
      <c r="C23" s="67"/>
      <c r="E23" s="68"/>
      <c r="F23" s="167"/>
      <c r="H23" s="38"/>
    </row>
    <row r="24" spans="2:8" x14ac:dyDescent="0.35">
      <c r="B24" s="42" t="s">
        <v>103</v>
      </c>
      <c r="C24" s="87">
        <v>0</v>
      </c>
      <c r="D24" s="10"/>
      <c r="E24" s="87">
        <v>0</v>
      </c>
      <c r="F24" s="165"/>
      <c r="G24" s="10"/>
      <c r="H24" s="11"/>
    </row>
    <row r="25" spans="2:8" x14ac:dyDescent="0.35">
      <c r="B25" s="49" t="s">
        <v>107</v>
      </c>
      <c r="C25" s="87">
        <v>300</v>
      </c>
      <c r="D25" s="10"/>
      <c r="E25" s="87">
        <f>C25*'2) Student Assumptions'!E74</f>
        <v>32400</v>
      </c>
      <c r="F25" s="165" t="s">
        <v>286</v>
      </c>
      <c r="G25" s="10"/>
      <c r="H25" s="11"/>
    </row>
    <row r="26" spans="2:8" x14ac:dyDescent="0.35">
      <c r="B26" s="49" t="s">
        <v>108</v>
      </c>
      <c r="C26" s="87">
        <v>0</v>
      </c>
      <c r="D26" s="10"/>
      <c r="E26" s="87">
        <v>0</v>
      </c>
      <c r="F26" s="165"/>
      <c r="G26" s="10"/>
      <c r="H26" s="11"/>
    </row>
    <row r="27" spans="2:8" x14ac:dyDescent="0.35">
      <c r="B27" s="49" t="s">
        <v>109</v>
      </c>
      <c r="C27" s="87">
        <v>0</v>
      </c>
      <c r="D27" s="10"/>
      <c r="E27" s="87">
        <v>0</v>
      </c>
      <c r="F27" s="165"/>
      <c r="G27" s="10"/>
      <c r="H27" s="11"/>
    </row>
    <row r="28" spans="2:8" x14ac:dyDescent="0.35">
      <c r="B28" s="49" t="s">
        <v>115</v>
      </c>
      <c r="C28" s="87">
        <v>0</v>
      </c>
      <c r="D28" s="10"/>
      <c r="E28" s="87">
        <v>0</v>
      </c>
      <c r="F28" s="165"/>
      <c r="G28" s="10"/>
      <c r="H28" s="11"/>
    </row>
    <row r="29" spans="2:8" x14ac:dyDescent="0.35">
      <c r="B29" s="49" t="s">
        <v>116</v>
      </c>
      <c r="C29" s="87">
        <v>150</v>
      </c>
      <c r="D29" s="10"/>
      <c r="E29" s="87">
        <f>C29*'2) Student Assumptions'!E29</f>
        <v>18000</v>
      </c>
      <c r="F29" s="165" t="s">
        <v>433</v>
      </c>
      <c r="G29" s="10"/>
      <c r="H29" s="11"/>
    </row>
    <row r="30" spans="2:8" x14ac:dyDescent="0.35">
      <c r="B30" s="49" t="s">
        <v>110</v>
      </c>
      <c r="C30" s="87">
        <v>200000</v>
      </c>
      <c r="D30" s="10"/>
      <c r="E30" s="87">
        <f>C30</f>
        <v>200000</v>
      </c>
      <c r="F30" s="165" t="s">
        <v>434</v>
      </c>
      <c r="G30" s="10"/>
      <c r="H30" s="11"/>
    </row>
    <row r="31" spans="2:8" x14ac:dyDescent="0.35">
      <c r="B31" s="89" t="s">
        <v>112</v>
      </c>
      <c r="C31" s="87">
        <v>0</v>
      </c>
      <c r="D31" s="10"/>
      <c r="E31" s="87">
        <v>0</v>
      </c>
      <c r="F31" s="165"/>
      <c r="G31" s="10"/>
      <c r="H31" s="11"/>
    </row>
    <row r="32" spans="2:8" x14ac:dyDescent="0.35">
      <c r="B32" s="89" t="s">
        <v>112</v>
      </c>
      <c r="C32" s="87">
        <v>0</v>
      </c>
      <c r="D32" s="10"/>
      <c r="E32" s="87">
        <v>0</v>
      </c>
      <c r="F32" s="165"/>
      <c r="G32" s="10"/>
      <c r="H32" s="11"/>
    </row>
    <row r="33" spans="1:8" s="36" customFormat="1" x14ac:dyDescent="0.35">
      <c r="B33" s="47"/>
      <c r="C33" s="67"/>
      <c r="E33" s="68"/>
      <c r="F33" s="167"/>
      <c r="H33" s="38"/>
    </row>
    <row r="34" spans="1:8" s="36" customFormat="1" x14ac:dyDescent="0.35">
      <c r="B34" s="45" t="s">
        <v>111</v>
      </c>
      <c r="C34" s="67"/>
      <c r="E34" s="68"/>
      <c r="F34" s="167"/>
      <c r="H34" s="38"/>
    </row>
    <row r="35" spans="1:8" x14ac:dyDescent="0.35">
      <c r="B35" s="89" t="s">
        <v>112</v>
      </c>
      <c r="C35" s="87">
        <v>0</v>
      </c>
      <c r="D35" s="10"/>
      <c r="E35" s="87">
        <v>0</v>
      </c>
      <c r="F35" s="165"/>
      <c r="G35" s="10"/>
      <c r="H35" s="11"/>
    </row>
    <row r="36" spans="1:8" x14ac:dyDescent="0.35">
      <c r="B36" s="89" t="s">
        <v>112</v>
      </c>
      <c r="C36" s="87">
        <v>0</v>
      </c>
      <c r="D36" s="10"/>
      <c r="E36" s="87">
        <v>0</v>
      </c>
      <c r="F36" s="165"/>
      <c r="G36" s="10"/>
      <c r="H36" s="11"/>
    </row>
    <row r="37" spans="1:8" x14ac:dyDescent="0.35">
      <c r="B37" s="89" t="s">
        <v>112</v>
      </c>
      <c r="C37" s="87">
        <v>0</v>
      </c>
      <c r="D37" s="10"/>
      <c r="E37" s="87">
        <v>0</v>
      </c>
      <c r="F37" s="165"/>
      <c r="G37" s="10"/>
      <c r="H37" s="11"/>
    </row>
    <row r="38" spans="1:8" s="36" customFormat="1" x14ac:dyDescent="0.35">
      <c r="B38" s="89" t="s">
        <v>112</v>
      </c>
      <c r="C38" s="87">
        <v>0</v>
      </c>
      <c r="D38" s="10"/>
      <c r="E38" s="87">
        <v>0</v>
      </c>
      <c r="F38" s="165"/>
      <c r="H38" s="38"/>
    </row>
    <row r="39" spans="1:8" x14ac:dyDescent="0.35">
      <c r="B39" s="89" t="s">
        <v>112</v>
      </c>
      <c r="C39" s="87">
        <v>0</v>
      </c>
      <c r="D39" s="10"/>
      <c r="E39" s="87">
        <v>0</v>
      </c>
      <c r="F39" s="165"/>
      <c r="G39" s="10"/>
      <c r="H39" s="11"/>
    </row>
    <row r="40" spans="1:8" s="36" customFormat="1" x14ac:dyDescent="0.35">
      <c r="B40" s="47"/>
      <c r="C40" s="67"/>
      <c r="E40" s="68"/>
      <c r="F40" s="167"/>
      <c r="H40" s="38"/>
    </row>
    <row r="41" spans="1:8" x14ac:dyDescent="0.35">
      <c r="B41" s="45" t="s">
        <v>114</v>
      </c>
      <c r="C41" s="67"/>
      <c r="D41" s="36"/>
      <c r="E41" s="68"/>
      <c r="F41" s="167"/>
      <c r="G41" s="36"/>
      <c r="H41" s="38"/>
    </row>
    <row r="42" spans="1:8" x14ac:dyDescent="0.35">
      <c r="B42" s="49" t="str">
        <f>'3) Pre-Opening Budget'!B42</f>
        <v>Walton Family Foundation</v>
      </c>
      <c r="C42" s="87">
        <v>0</v>
      </c>
      <c r="D42" s="10"/>
      <c r="E42" s="87">
        <v>0</v>
      </c>
      <c r="F42" s="165"/>
      <c r="G42" s="10"/>
      <c r="H42" s="11"/>
    </row>
    <row r="43" spans="1:8" x14ac:dyDescent="0.35">
      <c r="B43" s="49" t="str">
        <f>'3) Pre-Opening Budget'!B43</f>
        <v>Board Commitmment</v>
      </c>
      <c r="C43" s="87">
        <v>20000</v>
      </c>
      <c r="D43" s="10"/>
      <c r="E43" s="87">
        <v>20000</v>
      </c>
      <c r="F43" s="165" t="s">
        <v>366</v>
      </c>
      <c r="G43" s="10"/>
      <c r="H43" s="11"/>
    </row>
    <row r="44" spans="1:8" x14ac:dyDescent="0.35">
      <c r="B44" s="49" t="str">
        <f>'3) Pre-Opening Budget'!B44</f>
        <v>Other</v>
      </c>
      <c r="C44" s="87">
        <v>0</v>
      </c>
      <c r="D44" s="10"/>
      <c r="E44" s="87">
        <v>0</v>
      </c>
      <c r="F44" s="165"/>
      <c r="G44" s="10"/>
      <c r="H44" s="11"/>
    </row>
    <row r="45" spans="1:8" s="33" customFormat="1" x14ac:dyDescent="0.35">
      <c r="B45" s="49" t="str">
        <f>'3) Pre-Opening Budget'!B45</f>
        <v>Other</v>
      </c>
      <c r="C45" s="87">
        <v>0</v>
      </c>
      <c r="D45" s="10"/>
      <c r="E45" s="87">
        <v>0</v>
      </c>
      <c r="F45" s="165"/>
      <c r="G45" s="36"/>
      <c r="H45" s="38"/>
    </row>
    <row r="46" spans="1:8" ht="14.65" customHeight="1" x14ac:dyDescent="0.35">
      <c r="B46" s="49" t="str">
        <f>'3) Pre-Opening Budget'!B46</f>
        <v>Other</v>
      </c>
      <c r="C46" s="87">
        <v>0</v>
      </c>
      <c r="D46" s="10"/>
      <c r="E46" s="87">
        <v>0</v>
      </c>
      <c r="F46" s="165"/>
      <c r="G46" s="10"/>
      <c r="H46" s="11"/>
    </row>
    <row r="47" spans="1:8" x14ac:dyDescent="0.35">
      <c r="A47" s="26"/>
      <c r="B47" s="27"/>
      <c r="C47" s="28"/>
      <c r="D47" s="28"/>
      <c r="E47" s="40"/>
      <c r="F47" s="69"/>
      <c r="G47" s="10"/>
      <c r="H47" s="11"/>
    </row>
    <row r="48" spans="1:8" ht="19" thickBot="1" x14ac:dyDescent="0.5">
      <c r="B48" s="70" t="s">
        <v>113</v>
      </c>
      <c r="C48" s="10"/>
      <c r="D48" s="10"/>
      <c r="E48" s="71">
        <f>SUM(E18:E22,E24:E32,E35:E39,E42:E46)</f>
        <v>1345960</v>
      </c>
      <c r="F48" s="72"/>
      <c r="G48" s="10"/>
      <c r="H48" s="11"/>
    </row>
    <row r="49" spans="1:8" ht="15.5" thickTop="1" thickBot="1" x14ac:dyDescent="0.4">
      <c r="B49" s="236"/>
      <c r="C49" s="23"/>
      <c r="D49" s="23"/>
      <c r="E49" s="237"/>
      <c r="F49" s="238"/>
      <c r="G49" s="23"/>
      <c r="H49" s="24"/>
    </row>
    <row r="50" spans="1:8" ht="14.65" customHeight="1" x14ac:dyDescent="0.35">
      <c r="A50" s="26"/>
      <c r="B50" s="6"/>
      <c r="C50" s="330" t="s">
        <v>155</v>
      </c>
      <c r="D50" s="314"/>
      <c r="E50" s="314"/>
      <c r="F50" s="314"/>
      <c r="G50" s="7"/>
      <c r="H50" s="8"/>
    </row>
    <row r="51" spans="1:8" x14ac:dyDescent="0.35">
      <c r="A51" s="26"/>
      <c r="B51" s="9"/>
      <c r="C51" s="10"/>
      <c r="D51" s="10"/>
      <c r="E51" s="183"/>
      <c r="F51" s="74"/>
      <c r="G51" s="10"/>
      <c r="H51" s="11"/>
    </row>
    <row r="52" spans="1:8" x14ac:dyDescent="0.35">
      <c r="A52" s="26"/>
      <c r="B52" s="27"/>
      <c r="C52" s="28"/>
      <c r="D52" s="1"/>
      <c r="E52" s="29" t="s">
        <v>47</v>
      </c>
      <c r="F52" s="57"/>
      <c r="G52" s="10"/>
      <c r="H52" s="11"/>
    </row>
    <row r="53" spans="1:8" x14ac:dyDescent="0.35">
      <c r="A53" s="26"/>
      <c r="B53" s="27"/>
      <c r="C53" s="28"/>
      <c r="D53" s="28"/>
      <c r="E53" s="75" t="str">
        <f>E11</f>
        <v>2021-22</v>
      </c>
      <c r="F53" s="76"/>
      <c r="G53" s="10"/>
      <c r="H53" s="11"/>
    </row>
    <row r="54" spans="1:8" x14ac:dyDescent="0.35">
      <c r="A54" s="26"/>
      <c r="B54" s="27"/>
      <c r="C54" s="28"/>
      <c r="D54" s="28"/>
      <c r="E54" s="30"/>
      <c r="F54" s="76"/>
      <c r="G54" s="10"/>
      <c r="H54" s="11"/>
    </row>
    <row r="55" spans="1:8" x14ac:dyDescent="0.35">
      <c r="A55" s="26"/>
      <c r="B55" s="27"/>
      <c r="C55" s="28"/>
      <c r="D55" s="28"/>
      <c r="E55" s="30"/>
      <c r="F55" s="76"/>
      <c r="G55" s="10"/>
      <c r="H55" s="11"/>
    </row>
    <row r="56" spans="1:8" x14ac:dyDescent="0.35">
      <c r="A56" s="26"/>
      <c r="B56" s="39" t="str">
        <f>'5) Year 1-5 Staff Assumptions'!B50</f>
        <v>Administrative Staff</v>
      </c>
      <c r="C56" s="58" t="s">
        <v>118</v>
      </c>
      <c r="D56" s="28"/>
      <c r="E56" s="68"/>
      <c r="F56" s="63" t="s">
        <v>133</v>
      </c>
      <c r="G56" s="10"/>
      <c r="H56" s="11"/>
    </row>
    <row r="57" spans="1:8" x14ac:dyDescent="0.35">
      <c r="A57" s="26"/>
      <c r="B57" s="31" t="str">
        <f>'5) Year 1-5 Staff Assumptions'!B51</f>
        <v>Principal/School Leader</v>
      </c>
      <c r="C57" s="82">
        <f>'5) Year 1-5 Staff Assumptions'!E17</f>
        <v>1</v>
      </c>
      <c r="D57" s="28"/>
      <c r="E57" s="78">
        <f>'5) Year 1-5 Staff Assumptions'!E51</f>
        <v>95000</v>
      </c>
      <c r="F57" s="165" t="s">
        <v>361</v>
      </c>
      <c r="G57" s="10"/>
      <c r="H57" s="11"/>
    </row>
    <row r="58" spans="1:8" x14ac:dyDescent="0.35">
      <c r="A58" s="26"/>
      <c r="B58" s="31" t="str">
        <f>'5) Year 1-5 Staff Assumptions'!B52</f>
        <v>Assistant Principal</v>
      </c>
      <c r="C58" s="82">
        <f>'5) Year 1-5 Staff Assumptions'!E18</f>
        <v>0</v>
      </c>
      <c r="D58" s="10"/>
      <c r="E58" s="78">
        <f>'5) Year 1-5 Staff Assumptions'!E52</f>
        <v>0</v>
      </c>
      <c r="F58" s="165"/>
      <c r="G58" s="10"/>
      <c r="H58" s="11"/>
    </row>
    <row r="59" spans="1:8" x14ac:dyDescent="0.35">
      <c r="A59" s="26"/>
      <c r="B59" s="31" t="str">
        <f>'5) Year 1-5 Staff Assumptions'!B53</f>
        <v>Special Education Coordinator</v>
      </c>
      <c r="C59" s="82">
        <f>'5) Year 1-5 Staff Assumptions'!E19</f>
        <v>0</v>
      </c>
      <c r="D59" s="10"/>
      <c r="E59" s="78">
        <f>'5) Year 1-5 Staff Assumptions'!E53</f>
        <v>0</v>
      </c>
      <c r="F59" s="165"/>
      <c r="G59" s="10"/>
      <c r="H59" s="11"/>
    </row>
    <row r="60" spans="1:8" x14ac:dyDescent="0.35">
      <c r="A60" s="26"/>
      <c r="B60" s="31" t="str">
        <f>'5) Year 1-5 Staff Assumptions'!B54</f>
        <v>Deans, Directors</v>
      </c>
      <c r="C60" s="82">
        <f>'5) Year 1-5 Staff Assumptions'!E20</f>
        <v>1</v>
      </c>
      <c r="D60" s="10"/>
      <c r="E60" s="78">
        <f>'5) Year 1-5 Staff Assumptions'!E54</f>
        <v>60000</v>
      </c>
      <c r="F60" s="165" t="s">
        <v>362</v>
      </c>
      <c r="G60" s="10"/>
      <c r="H60" s="11"/>
    </row>
    <row r="61" spans="1:8" x14ac:dyDescent="0.35">
      <c r="A61" s="26"/>
      <c r="B61" s="31" t="str">
        <f>'5) Year 1-5 Staff Assumptions'!B55</f>
        <v>Other (Specify in Assumptions)</v>
      </c>
      <c r="C61" s="82">
        <f>'5) Year 1-5 Staff Assumptions'!E21</f>
        <v>0</v>
      </c>
      <c r="D61" s="10"/>
      <c r="E61" s="78">
        <f>'5) Year 1-5 Staff Assumptions'!E55</f>
        <v>0</v>
      </c>
      <c r="F61" s="165"/>
      <c r="G61" s="10"/>
      <c r="H61" s="11"/>
    </row>
    <row r="62" spans="1:8" x14ac:dyDescent="0.35">
      <c r="A62" s="26"/>
      <c r="B62" s="39" t="str">
        <f>'5) Year 1-5 Staff Assumptions'!B56</f>
        <v>Total Administrative Compensation</v>
      </c>
      <c r="C62" s="79">
        <f>'5) Year 1-5 Staff Assumptions'!E22</f>
        <v>2</v>
      </c>
      <c r="D62" s="127"/>
      <c r="E62" s="78">
        <f>'5) Year 1-5 Staff Assumptions'!E56</f>
        <v>155000</v>
      </c>
      <c r="F62" s="168"/>
      <c r="G62" s="10"/>
      <c r="H62" s="11"/>
    </row>
    <row r="63" spans="1:8" x14ac:dyDescent="0.35">
      <c r="A63" s="26"/>
      <c r="B63" s="31"/>
      <c r="C63" s="82"/>
      <c r="D63" s="10"/>
      <c r="E63" s="83"/>
      <c r="F63" s="169"/>
      <c r="G63" s="10"/>
      <c r="H63" s="11"/>
    </row>
    <row r="64" spans="1:8" x14ac:dyDescent="0.35">
      <c r="A64" s="26"/>
      <c r="B64" s="39" t="str">
        <f>'5) Year 1-5 Staff Assumptions'!B58</f>
        <v>Instructional Staff</v>
      </c>
      <c r="C64" s="82"/>
      <c r="D64" s="82"/>
      <c r="E64" s="82"/>
      <c r="F64" s="170"/>
      <c r="G64" s="10"/>
      <c r="H64" s="11"/>
    </row>
    <row r="65" spans="1:8" x14ac:dyDescent="0.35">
      <c r="A65" s="26"/>
      <c r="B65" s="31" t="str">
        <f>'5) Year 1-5 Staff Assumptions'!B59</f>
        <v>Teachers</v>
      </c>
      <c r="C65" s="82">
        <f>'5) Year 1-5 Staff Assumptions'!E25</f>
        <v>7</v>
      </c>
      <c r="D65" s="10"/>
      <c r="E65" s="78">
        <f>'5) Year 1-5 Staff Assumptions'!E59</f>
        <v>322000</v>
      </c>
      <c r="F65" s="165" t="s">
        <v>370</v>
      </c>
      <c r="G65" s="10"/>
      <c r="H65" s="11"/>
    </row>
    <row r="66" spans="1:8" x14ac:dyDescent="0.35">
      <c r="A66" s="26"/>
      <c r="B66" s="31" t="str">
        <f>'5) Year 1-5 Staff Assumptions'!B60</f>
        <v>Special Education Teachers</v>
      </c>
      <c r="C66" s="82">
        <f>'5) Year 1-5 Staff Assumptions'!E26</f>
        <v>1</v>
      </c>
      <c r="D66" s="10"/>
      <c r="E66" s="78">
        <f>'5) Year 1-5 Staff Assumptions'!E60</f>
        <v>50000</v>
      </c>
      <c r="F66" s="165" t="s">
        <v>435</v>
      </c>
      <c r="G66" s="10"/>
      <c r="H66" s="11"/>
    </row>
    <row r="67" spans="1:8" x14ac:dyDescent="0.35">
      <c r="A67" s="26"/>
      <c r="B67" s="31" t="str">
        <f>'5) Year 1-5 Staff Assumptions'!B61</f>
        <v>Eduacational Assistants/Aides</v>
      </c>
      <c r="C67" s="82">
        <f>'5) Year 1-5 Staff Assumptions'!E27</f>
        <v>0</v>
      </c>
      <c r="D67" s="10"/>
      <c r="E67" s="78">
        <f>'5) Year 1-5 Staff Assumptions'!E61</f>
        <v>0</v>
      </c>
      <c r="F67" s="165"/>
      <c r="G67" s="10"/>
      <c r="H67" s="11"/>
    </row>
    <row r="68" spans="1:8" x14ac:dyDescent="0.35">
      <c r="A68" s="26"/>
      <c r="B68" s="31" t="str">
        <f>'5) Year 1-5 Staff Assumptions'!B62</f>
        <v>Elective Teachers</v>
      </c>
      <c r="C68" s="82">
        <f>'5) Year 1-5 Staff Assumptions'!E28</f>
        <v>1</v>
      </c>
      <c r="D68" s="10"/>
      <c r="E68" s="78">
        <f>'5) Year 1-5 Staff Assumptions'!E62</f>
        <v>35000</v>
      </c>
      <c r="F68" s="165" t="s">
        <v>363</v>
      </c>
      <c r="G68" s="10"/>
      <c r="H68" s="11"/>
    </row>
    <row r="69" spans="1:8" x14ac:dyDescent="0.35">
      <c r="A69" s="26"/>
      <c r="B69" s="31" t="str">
        <f>'5) Year 1-5 Staff Assumptions'!B63</f>
        <v>Other (Specify in Assumptions)</v>
      </c>
      <c r="C69" s="82">
        <f>'5) Year 1-5 Staff Assumptions'!E29</f>
        <v>0</v>
      </c>
      <c r="D69" s="10"/>
      <c r="E69" s="78">
        <f>'5) Year 1-5 Staff Assumptions'!E63</f>
        <v>0</v>
      </c>
      <c r="F69" s="165"/>
      <c r="G69" s="10"/>
      <c r="H69" s="11"/>
    </row>
    <row r="70" spans="1:8" x14ac:dyDescent="0.35">
      <c r="A70" s="26"/>
      <c r="B70" s="39" t="str">
        <f>'5) Year 1-5 Staff Assumptions'!B64</f>
        <v>Total Instructional Compensation</v>
      </c>
      <c r="C70" s="79">
        <f>'5) Year 1-5 Staff Assumptions'!E30</f>
        <v>9</v>
      </c>
      <c r="D70" s="127"/>
      <c r="E70" s="78">
        <f>'5) Year 1-5 Staff Assumptions'!E64</f>
        <v>407000</v>
      </c>
      <c r="F70" s="168"/>
      <c r="G70" s="10"/>
      <c r="H70" s="11"/>
    </row>
    <row r="71" spans="1:8" x14ac:dyDescent="0.35">
      <c r="A71" s="26"/>
      <c r="B71" s="31"/>
      <c r="C71" s="82"/>
      <c r="D71" s="36"/>
      <c r="E71" s="83"/>
      <c r="F71" s="169"/>
      <c r="G71" s="10"/>
      <c r="H71" s="11"/>
    </row>
    <row r="72" spans="1:8" x14ac:dyDescent="0.35">
      <c r="A72" s="26"/>
      <c r="B72" s="39" t="str">
        <f>'5) Year 1-5 Staff Assumptions'!B66</f>
        <v>Non-Instructional Staff</v>
      </c>
      <c r="C72" s="82"/>
      <c r="D72" s="82"/>
      <c r="E72" s="82"/>
      <c r="F72" s="170"/>
      <c r="G72" s="10"/>
      <c r="H72" s="11"/>
    </row>
    <row r="73" spans="1:8" x14ac:dyDescent="0.35">
      <c r="A73" s="26"/>
      <c r="B73" s="31" t="str">
        <f>'5) Year 1-5 Staff Assumptions'!B67</f>
        <v>Clerical Staff</v>
      </c>
      <c r="C73" s="82">
        <f>'5) Year 1-5 Staff Assumptions'!E33</f>
        <v>1</v>
      </c>
      <c r="D73" s="28"/>
      <c r="E73" s="78">
        <f>'5) Year 1-5 Staff Assumptions'!E67</f>
        <v>32000</v>
      </c>
      <c r="F73" s="165" t="s">
        <v>436</v>
      </c>
      <c r="G73" s="10"/>
      <c r="H73" s="11"/>
    </row>
    <row r="74" spans="1:8" x14ac:dyDescent="0.35">
      <c r="A74" s="26"/>
      <c r="B74" s="31" t="str">
        <f>'5) Year 1-5 Staff Assumptions'!B68</f>
        <v>Custodial Staff</v>
      </c>
      <c r="C74" s="82">
        <f>'5) Year 1-5 Staff Assumptions'!E34</f>
        <v>0</v>
      </c>
      <c r="D74" s="28"/>
      <c r="E74" s="78">
        <f>'5) Year 1-5 Staff Assumptions'!E68</f>
        <v>0</v>
      </c>
      <c r="F74" s="165"/>
      <c r="G74" s="10"/>
      <c r="H74" s="11"/>
    </row>
    <row r="75" spans="1:8" x14ac:dyDescent="0.35">
      <c r="A75" s="26"/>
      <c r="B75" s="31" t="str">
        <f>'5) Year 1-5 Staff Assumptions'!B69</f>
        <v>Operations</v>
      </c>
      <c r="C75" s="82">
        <f>'5) Year 1-5 Staff Assumptions'!E35</f>
        <v>0</v>
      </c>
      <c r="D75" s="28"/>
      <c r="E75" s="78">
        <f>'5) Year 1-5 Staff Assumptions'!E69</f>
        <v>0</v>
      </c>
      <c r="F75" s="165"/>
      <c r="G75" s="10"/>
      <c r="H75" s="11"/>
    </row>
    <row r="76" spans="1:8" x14ac:dyDescent="0.35">
      <c r="A76" s="26"/>
      <c r="B76" s="31" t="str">
        <f>'5) Year 1-5 Staff Assumptions'!B70</f>
        <v>Social Workers/Counseling</v>
      </c>
      <c r="C76" s="82">
        <f>'5) Year 1-5 Staff Assumptions'!E36</f>
        <v>0</v>
      </c>
      <c r="D76" s="28"/>
      <c r="E76" s="78">
        <f>'5) Year 1-5 Staff Assumptions'!E70</f>
        <v>0</v>
      </c>
      <c r="F76" s="165"/>
      <c r="G76" s="10"/>
      <c r="H76" s="11"/>
    </row>
    <row r="77" spans="1:8" x14ac:dyDescent="0.35">
      <c r="A77" s="26"/>
      <c r="B77" s="31" t="str">
        <f>'5) Year 1-5 Staff Assumptions'!B71</f>
        <v>Other (Specify in Assumptions)</v>
      </c>
      <c r="C77" s="82">
        <f>'5) Year 1-5 Staff Assumptions'!E37</f>
        <v>0</v>
      </c>
      <c r="D77" s="28"/>
      <c r="E77" s="78">
        <f>'5) Year 1-5 Staff Assumptions'!E71</f>
        <v>0</v>
      </c>
      <c r="F77" s="165"/>
      <c r="G77" s="10"/>
      <c r="H77" s="11"/>
    </row>
    <row r="78" spans="1:8" x14ac:dyDescent="0.35">
      <c r="A78" s="26"/>
      <c r="B78" s="39" t="str">
        <f>'5) Year 1-5 Staff Assumptions'!B72</f>
        <v>Total Non-Instructional  Compensation</v>
      </c>
      <c r="C78" s="79">
        <f>'5) Year 1-5 Staff Assumptions'!E38</f>
        <v>1</v>
      </c>
      <c r="D78" s="58"/>
      <c r="E78" s="78">
        <f>'5) Year 1-5 Staff Assumptions'!E72</f>
        <v>32000</v>
      </c>
      <c r="F78" s="168"/>
      <c r="G78" s="10"/>
      <c r="H78" s="11"/>
    </row>
    <row r="79" spans="1:8" x14ac:dyDescent="0.35">
      <c r="A79" s="26"/>
      <c r="B79" s="31"/>
      <c r="C79" s="28"/>
      <c r="D79" s="28"/>
      <c r="E79" s="83"/>
      <c r="F79" s="169"/>
      <c r="G79" s="10"/>
      <c r="H79" s="11"/>
    </row>
    <row r="80" spans="1:8" x14ac:dyDescent="0.35">
      <c r="A80" s="26"/>
      <c r="B80" s="31" t="str">
        <f>'5) Year 1-5 Staff Assumptions'!B74</f>
        <v>Other Compensation</v>
      </c>
      <c r="C80" s="28"/>
      <c r="D80" s="28"/>
      <c r="E80" s="78">
        <f>'5) Year 1-5 Staff Assumptions'!E74</f>
        <v>0</v>
      </c>
      <c r="F80" s="165"/>
      <c r="G80" s="10"/>
      <c r="H80" s="11"/>
    </row>
    <row r="81" spans="1:8" x14ac:dyDescent="0.35">
      <c r="A81" s="26"/>
      <c r="B81" s="31" t="str">
        <f>'5) Year 1-5 Staff Assumptions'!B75</f>
        <v>Other Compensation</v>
      </c>
      <c r="C81" s="28"/>
      <c r="D81" s="28"/>
      <c r="E81" s="78">
        <f>'5) Year 1-5 Staff Assumptions'!E75</f>
        <v>0</v>
      </c>
      <c r="F81" s="165"/>
      <c r="G81" s="10"/>
      <c r="H81" s="11"/>
    </row>
    <row r="82" spans="1:8" x14ac:dyDescent="0.35">
      <c r="A82" s="26"/>
      <c r="B82" s="31" t="str">
        <f>'5) Year 1-5 Staff Assumptions'!B76</f>
        <v>Other Compensation</v>
      </c>
      <c r="C82" s="28"/>
      <c r="D82" s="28"/>
      <c r="E82" s="78">
        <f>'5) Year 1-5 Staff Assumptions'!E76</f>
        <v>0</v>
      </c>
      <c r="F82" s="165"/>
      <c r="G82" s="10"/>
      <c r="H82" s="11"/>
    </row>
    <row r="83" spans="1:8" x14ac:dyDescent="0.35">
      <c r="A83" s="26"/>
      <c r="B83" s="31" t="str">
        <f>'5) Year 1-5 Staff Assumptions'!B77</f>
        <v>Other Compensation</v>
      </c>
      <c r="C83" s="28"/>
      <c r="D83" s="28"/>
      <c r="E83" s="78">
        <f>'5) Year 1-5 Staff Assumptions'!E77</f>
        <v>0</v>
      </c>
      <c r="F83" s="165"/>
      <c r="G83" s="10"/>
      <c r="H83" s="11"/>
    </row>
    <row r="84" spans="1:8" x14ac:dyDescent="0.35">
      <c r="A84" s="26"/>
      <c r="B84" s="31"/>
      <c r="C84" s="28"/>
      <c r="D84" s="28"/>
      <c r="E84" s="83"/>
      <c r="F84" s="153"/>
      <c r="G84" s="10"/>
      <c r="H84" s="11"/>
    </row>
    <row r="85" spans="1:8" ht="15" thickBot="1" x14ac:dyDescent="0.4">
      <c r="A85" s="26"/>
      <c r="B85" s="39" t="str">
        <f>'5) Year 1-5 Staff Assumptions'!B79</f>
        <v>Total Compensation</v>
      </c>
      <c r="C85" s="58"/>
      <c r="D85" s="58"/>
      <c r="E85" s="71">
        <f>'5) Year 1-5 Staff Assumptions'!E79</f>
        <v>594000</v>
      </c>
      <c r="F85" s="72"/>
      <c r="G85" s="10"/>
      <c r="H85" s="11"/>
    </row>
    <row r="86" spans="1:8" ht="15" thickTop="1" x14ac:dyDescent="0.35">
      <c r="A86" s="26"/>
      <c r="B86" s="27"/>
      <c r="C86" s="28"/>
      <c r="D86" s="28"/>
      <c r="E86" s="30"/>
      <c r="F86" s="76"/>
      <c r="G86" s="10"/>
      <c r="H86" s="11"/>
    </row>
    <row r="87" spans="1:8" x14ac:dyDescent="0.35">
      <c r="A87" s="26"/>
      <c r="B87" s="27"/>
      <c r="C87" s="28"/>
      <c r="D87" s="28"/>
      <c r="E87" s="30"/>
      <c r="F87" s="76"/>
      <c r="G87" s="10"/>
      <c r="H87" s="11"/>
    </row>
    <row r="88" spans="1:8" ht="14.65" customHeight="1" x14ac:dyDescent="0.35">
      <c r="A88" s="26"/>
      <c r="B88" s="9"/>
      <c r="C88" s="284" t="s">
        <v>158</v>
      </c>
      <c r="D88" s="293"/>
      <c r="E88" s="293"/>
      <c r="F88" s="293"/>
      <c r="G88" s="10"/>
      <c r="H88" s="11"/>
    </row>
    <row r="89" spans="1:8" ht="14.65" customHeight="1" x14ac:dyDescent="0.35">
      <c r="A89" s="26"/>
      <c r="B89" s="9"/>
      <c r="C89" s="10"/>
      <c r="D89" s="10"/>
      <c r="E89" s="10"/>
      <c r="F89" s="36"/>
      <c r="G89" s="10"/>
      <c r="H89" s="11"/>
    </row>
    <row r="90" spans="1:8" x14ac:dyDescent="0.35">
      <c r="A90" s="26"/>
      <c r="B90" s="9"/>
      <c r="C90" s="10"/>
      <c r="D90" s="10"/>
      <c r="E90" s="29" t="s">
        <v>47</v>
      </c>
      <c r="F90" s="57"/>
      <c r="G90" s="10"/>
      <c r="H90" s="11"/>
    </row>
    <row r="91" spans="1:8" x14ac:dyDescent="0.35">
      <c r="A91" s="35"/>
      <c r="B91" s="27"/>
      <c r="C91" s="58"/>
      <c r="D91" s="1"/>
      <c r="E91" s="75" t="str">
        <f>E11</f>
        <v>2021-22</v>
      </c>
      <c r="F91" s="76"/>
      <c r="G91" s="10"/>
      <c r="H91" s="11"/>
    </row>
    <row r="92" spans="1:8" x14ac:dyDescent="0.35">
      <c r="A92" s="35"/>
      <c r="B92" s="27"/>
      <c r="C92" s="58"/>
      <c r="D92" s="1"/>
      <c r="E92" s="30"/>
      <c r="F92" s="36"/>
      <c r="G92" s="10"/>
      <c r="H92" s="11"/>
    </row>
    <row r="93" spans="1:8" x14ac:dyDescent="0.35">
      <c r="A93" s="35"/>
      <c r="B93" s="27"/>
      <c r="C93" s="58"/>
      <c r="D93" s="1"/>
      <c r="E93" s="30"/>
      <c r="F93" s="63" t="s">
        <v>133</v>
      </c>
      <c r="G93" s="10"/>
      <c r="H93" s="11"/>
    </row>
    <row r="94" spans="1:8" x14ac:dyDescent="0.35">
      <c r="A94" s="44"/>
      <c r="B94" s="49" t="str">
        <f>'5) Year 1-5 Staff Assumptions'!B86</f>
        <v xml:space="preserve">Social Security </v>
      </c>
      <c r="C94" s="61"/>
      <c r="D94" s="61"/>
      <c r="E94" s="130">
        <f>'5) Year 1-5 Staff Assumptions'!E86</f>
        <v>36828</v>
      </c>
      <c r="F94" s="165" t="s">
        <v>437</v>
      </c>
      <c r="G94" s="10"/>
      <c r="H94" s="11"/>
    </row>
    <row r="95" spans="1:8" x14ac:dyDescent="0.35">
      <c r="A95" s="26"/>
      <c r="B95" s="49" t="str">
        <f>'5) Year 1-5 Staff Assumptions'!B87</f>
        <v>Medicare</v>
      </c>
      <c r="C95" s="61"/>
      <c r="D95" s="61"/>
      <c r="E95" s="130">
        <f>'5) Year 1-5 Staff Assumptions'!E87</f>
        <v>8613</v>
      </c>
      <c r="F95" s="165" t="s">
        <v>394</v>
      </c>
      <c r="G95" s="10"/>
      <c r="H95" s="11"/>
    </row>
    <row r="96" spans="1:8" x14ac:dyDescent="0.35">
      <c r="A96" s="35"/>
      <c r="B96" s="49" t="str">
        <f>'5) Year 1-5 Staff Assumptions'!B88</f>
        <v>State Unemployment</v>
      </c>
      <c r="C96" s="61"/>
      <c r="D96" s="61"/>
      <c r="E96" s="130">
        <f>'5) Year 1-5 Staff Assumptions'!E88</f>
        <v>4800</v>
      </c>
      <c r="F96" s="165" t="s">
        <v>395</v>
      </c>
      <c r="G96" s="10"/>
      <c r="H96" s="11"/>
    </row>
    <row r="97" spans="1:8" x14ac:dyDescent="0.35">
      <c r="A97" s="44"/>
      <c r="B97" s="49" t="str">
        <f>'5) Year 1-5 Staff Assumptions'!B89</f>
        <v>Disability/Life Insurance</v>
      </c>
      <c r="C97" s="61"/>
      <c r="D97" s="61"/>
      <c r="E97" s="130">
        <f>'5) Year 1-5 Staff Assumptions'!E89</f>
        <v>1485</v>
      </c>
      <c r="F97" s="248" t="s">
        <v>438</v>
      </c>
      <c r="G97" s="10"/>
      <c r="H97" s="11"/>
    </row>
    <row r="98" spans="1:8" x14ac:dyDescent="0.35">
      <c r="A98" s="44"/>
      <c r="B98" s="49" t="str">
        <f>'5) Year 1-5 Staff Assumptions'!B90</f>
        <v>Workers Compensation Insurance</v>
      </c>
      <c r="C98" s="61"/>
      <c r="D98" s="61"/>
      <c r="E98" s="130">
        <f>'5) Year 1-5 Staff Assumptions'!E90</f>
        <v>7425</v>
      </c>
      <c r="F98" s="165" t="s">
        <v>439</v>
      </c>
      <c r="G98" s="10"/>
      <c r="H98" s="11"/>
    </row>
    <row r="99" spans="1:8" x14ac:dyDescent="0.35">
      <c r="A99" s="44"/>
      <c r="B99" s="49" t="str">
        <f>'5) Year 1-5 Staff Assumptions'!B91</f>
        <v>Other Fringe Benefits</v>
      </c>
      <c r="C99" s="61"/>
      <c r="D99" s="61"/>
      <c r="E99" s="130">
        <f>'5) Year 1-5 Staff Assumptions'!E91</f>
        <v>0</v>
      </c>
      <c r="F99" s="165"/>
      <c r="G99" s="10"/>
      <c r="H99" s="11"/>
    </row>
    <row r="100" spans="1:8" x14ac:dyDescent="0.35">
      <c r="A100" s="26"/>
      <c r="B100" s="49" t="str">
        <f>'5) Year 1-5 Staff Assumptions'!B96</f>
        <v>Medical Insurance</v>
      </c>
      <c r="C100" s="61"/>
      <c r="D100" s="61"/>
      <c r="E100" s="130">
        <f>'5) Year 1-5 Staff Assumptions'!E96</f>
        <v>43200</v>
      </c>
      <c r="F100" s="165" t="s">
        <v>398</v>
      </c>
      <c r="G100" s="10"/>
      <c r="H100" s="11"/>
    </row>
    <row r="101" spans="1:8" x14ac:dyDescent="0.35">
      <c r="A101" s="26"/>
      <c r="B101" s="49" t="str">
        <f>'5) Year 1-5 Staff Assumptions'!B97</f>
        <v>Dental Insurance</v>
      </c>
      <c r="C101" s="61"/>
      <c r="D101" s="61"/>
      <c r="E101" s="130">
        <f>'5) Year 1-5 Staff Assumptions'!E97</f>
        <v>10800</v>
      </c>
      <c r="F101" s="165" t="s">
        <v>399</v>
      </c>
      <c r="G101" s="10"/>
      <c r="H101" s="11"/>
    </row>
    <row r="102" spans="1:8" x14ac:dyDescent="0.35">
      <c r="A102" s="26"/>
      <c r="B102" s="49" t="str">
        <f>'5) Year 1-5 Staff Assumptions'!B98</f>
        <v>Vision Insurance</v>
      </c>
      <c r="C102" s="61"/>
      <c r="D102" s="61"/>
      <c r="E102" s="130">
        <f>'5) Year 1-5 Staff Assumptions'!E98</f>
        <v>3600</v>
      </c>
      <c r="F102" s="165" t="s">
        <v>400</v>
      </c>
      <c r="G102" s="10"/>
      <c r="H102" s="11"/>
    </row>
    <row r="103" spans="1:8" x14ac:dyDescent="0.35">
      <c r="A103" s="26"/>
      <c r="B103" s="49" t="str">
        <f>'5) Year 1-5 Staff Assumptions'!B100</f>
        <v>TCRS Certified Legacy</v>
      </c>
      <c r="C103" s="61"/>
      <c r="D103" s="61"/>
      <c r="E103" s="130">
        <f>'5) Year 1-5 Staff Assumptions'!E100</f>
        <v>62132.4</v>
      </c>
      <c r="F103" s="165" t="s">
        <v>336</v>
      </c>
      <c r="G103" s="10"/>
      <c r="H103" s="11"/>
    </row>
    <row r="104" spans="1:8" x14ac:dyDescent="0.35">
      <c r="A104" s="26"/>
      <c r="B104" s="49" t="str">
        <f>'5) Year 1-5 Staff Assumptions'!B101</f>
        <v>TCRS Certified Hybrid</v>
      </c>
      <c r="C104" s="61"/>
      <c r="D104" s="61"/>
      <c r="E104" s="130">
        <f>'5) Year 1-5 Staff Assumptions'!E101</f>
        <v>0</v>
      </c>
      <c r="F104" s="165"/>
      <c r="G104" s="10"/>
      <c r="H104" s="11"/>
    </row>
    <row r="105" spans="1:8" x14ac:dyDescent="0.35">
      <c r="A105" s="26"/>
      <c r="B105" s="49" t="str">
        <f>'5) Year 1-5 Staff Assumptions'!B102</f>
        <v>TCRS Classified Legacy</v>
      </c>
      <c r="C105" s="61"/>
      <c r="D105" s="61"/>
      <c r="E105" s="130">
        <f>'5) Year 1-5 Staff Assumptions'!E102</f>
        <v>0</v>
      </c>
      <c r="F105" s="165"/>
      <c r="G105" s="10"/>
      <c r="H105" s="11"/>
    </row>
    <row r="106" spans="1:8" x14ac:dyDescent="0.35">
      <c r="A106" s="26"/>
      <c r="B106" s="49" t="str">
        <f>'5) Year 1-5 Staff Assumptions'!B103</f>
        <v>TCRS Classified Hybrid</v>
      </c>
      <c r="C106" s="61"/>
      <c r="D106" s="61"/>
      <c r="E106" s="130">
        <f>'5) Year 1-5 Staff Assumptions'!E103</f>
        <v>0</v>
      </c>
      <c r="F106" s="165"/>
      <c r="G106" s="10"/>
      <c r="H106" s="11"/>
    </row>
    <row r="107" spans="1:8" x14ac:dyDescent="0.35">
      <c r="A107" s="35"/>
      <c r="B107" s="49" t="str">
        <f>'5) Year 1-5 Staff Assumptions'!B104</f>
        <v>Other Classified Retirement</v>
      </c>
      <c r="C107" s="61"/>
      <c r="D107" s="61"/>
      <c r="E107" s="130">
        <f>'5) Year 1-5 Staff Assumptions'!E104</f>
        <v>0</v>
      </c>
      <c r="F107" s="165"/>
      <c r="G107" s="10"/>
      <c r="H107" s="11"/>
    </row>
    <row r="108" spans="1:8" x14ac:dyDescent="0.35">
      <c r="A108" s="35"/>
      <c r="B108" s="49" t="str">
        <f>'5) Year 1-5 Staff Assumptions'!B105</f>
        <v>Other Retirement</v>
      </c>
      <c r="C108" s="61"/>
      <c r="D108" s="61"/>
      <c r="E108" s="130">
        <f>'5) Year 1-5 Staff Assumptions'!E105</f>
        <v>0</v>
      </c>
      <c r="F108" s="165"/>
      <c r="G108" s="10"/>
      <c r="H108" s="11"/>
    </row>
    <row r="109" spans="1:8" x14ac:dyDescent="0.35">
      <c r="B109" s="9"/>
      <c r="C109" s="10"/>
      <c r="D109" s="10"/>
      <c r="E109" s="10"/>
      <c r="F109" s="36"/>
      <c r="G109" s="10"/>
      <c r="H109" s="11"/>
    </row>
    <row r="110" spans="1:8" ht="15" thickBot="1" x14ac:dyDescent="0.4">
      <c r="B110" s="39" t="s">
        <v>122</v>
      </c>
      <c r="C110" s="58"/>
      <c r="D110" s="58"/>
      <c r="E110" s="71">
        <f>SUM(E94:E108)</f>
        <v>178883.4</v>
      </c>
      <c r="F110" s="72"/>
      <c r="G110" s="10"/>
      <c r="H110" s="11"/>
    </row>
    <row r="111" spans="1:8" ht="15.5" thickTop="1" thickBot="1" x14ac:dyDescent="0.4">
      <c r="B111" s="202"/>
      <c r="C111" s="203"/>
      <c r="D111" s="203"/>
      <c r="E111" s="204"/>
      <c r="F111" s="205"/>
      <c r="G111" s="23"/>
      <c r="H111" s="24"/>
    </row>
    <row r="112" spans="1:8" x14ac:dyDescent="0.35">
      <c r="B112" s="207"/>
      <c r="C112" s="208"/>
      <c r="D112" s="208"/>
      <c r="E112" s="209"/>
      <c r="F112" s="210"/>
      <c r="G112" s="7"/>
      <c r="H112" s="8"/>
    </row>
    <row r="113" spans="1:8" ht="15" customHeight="1" x14ac:dyDescent="0.35">
      <c r="B113" s="39"/>
      <c r="C113" s="284" t="s">
        <v>128</v>
      </c>
      <c r="D113" s="303"/>
      <c r="E113" s="303"/>
      <c r="F113" s="303"/>
      <c r="G113" s="10"/>
      <c r="H113" s="11"/>
    </row>
    <row r="114" spans="1:8" x14ac:dyDescent="0.35">
      <c r="B114" s="39"/>
      <c r="C114" s="58"/>
      <c r="D114" s="58"/>
      <c r="E114" s="58"/>
      <c r="F114" s="84"/>
      <c r="G114" s="58"/>
      <c r="H114" s="11"/>
    </row>
    <row r="115" spans="1:8" x14ac:dyDescent="0.35">
      <c r="B115" s="39"/>
      <c r="C115" s="58"/>
      <c r="D115" s="58"/>
      <c r="E115" s="29" t="s">
        <v>47</v>
      </c>
      <c r="F115" s="57"/>
      <c r="G115" s="58"/>
      <c r="H115" s="11"/>
    </row>
    <row r="116" spans="1:8" x14ac:dyDescent="0.35">
      <c r="B116" s="39"/>
      <c r="C116" s="58"/>
      <c r="D116" s="58"/>
      <c r="E116" s="75" t="str">
        <f>E11</f>
        <v>2021-22</v>
      </c>
      <c r="F116" s="76"/>
      <c r="G116" s="58"/>
      <c r="H116" s="11"/>
    </row>
    <row r="117" spans="1:8" hidden="1" x14ac:dyDescent="0.35">
      <c r="A117" s="26"/>
      <c r="B117" s="27"/>
      <c r="C117" s="58" t="s">
        <v>131</v>
      </c>
      <c r="D117" s="1"/>
      <c r="E117" s="59">
        <v>0</v>
      </c>
      <c r="F117" s="36"/>
      <c r="G117" s="10"/>
      <c r="H117" s="11"/>
    </row>
    <row r="118" spans="1:8" hidden="1" x14ac:dyDescent="0.35">
      <c r="A118" s="26"/>
      <c r="B118" s="27"/>
      <c r="C118" s="61" t="s">
        <v>94</v>
      </c>
      <c r="D118" s="1"/>
      <c r="E118" s="62">
        <f>100%+E117</f>
        <v>1</v>
      </c>
      <c r="F118" s="62"/>
      <c r="G118" s="10"/>
      <c r="H118" s="11"/>
    </row>
    <row r="119" spans="1:8" x14ac:dyDescent="0.35">
      <c r="B119" s="39"/>
      <c r="C119" s="58"/>
      <c r="D119" s="58"/>
      <c r="E119" s="73"/>
      <c r="F119" s="72"/>
      <c r="G119" s="10"/>
      <c r="H119" s="11"/>
    </row>
    <row r="120" spans="1:8" x14ac:dyDescent="0.35">
      <c r="B120" s="39" t="s">
        <v>123</v>
      </c>
      <c r="C120" s="58"/>
      <c r="D120" s="58"/>
      <c r="E120" s="73"/>
      <c r="F120" s="63" t="s">
        <v>133</v>
      </c>
      <c r="G120" s="10"/>
      <c r="H120" s="11"/>
    </row>
    <row r="121" spans="1:8" x14ac:dyDescent="0.35">
      <c r="B121" s="144" t="str">
        <f>'3) Pre-Opening Budget'!B123</f>
        <v>Professional Development</v>
      </c>
      <c r="C121" s="87">
        <v>15000</v>
      </c>
      <c r="D121" s="10"/>
      <c r="E121" s="87">
        <v>45000</v>
      </c>
      <c r="F121" s="165" t="s">
        <v>328</v>
      </c>
      <c r="G121" s="10"/>
      <c r="H121" s="11"/>
    </row>
    <row r="122" spans="1:8" x14ac:dyDescent="0.35">
      <c r="B122" s="144" t="str">
        <f>'3) Pre-Opening Budget'!B124</f>
        <v>Financial Services</v>
      </c>
      <c r="C122" s="87">
        <v>4600</v>
      </c>
      <c r="D122" s="10"/>
      <c r="E122" s="87">
        <f>C122*12</f>
        <v>55200</v>
      </c>
      <c r="F122" s="165" t="s">
        <v>313</v>
      </c>
      <c r="G122" s="10"/>
      <c r="H122" s="11"/>
    </row>
    <row r="123" spans="1:8" x14ac:dyDescent="0.35">
      <c r="B123" s="144" t="str">
        <f>'3) Pre-Opening Budget'!B125</f>
        <v>Audit Services</v>
      </c>
      <c r="C123" s="87">
        <v>10000</v>
      </c>
      <c r="D123" s="10"/>
      <c r="E123" s="87">
        <f>C123</f>
        <v>10000</v>
      </c>
      <c r="F123" s="165" t="s">
        <v>314</v>
      </c>
      <c r="G123" s="10"/>
      <c r="H123" s="11"/>
    </row>
    <row r="124" spans="1:8" x14ac:dyDescent="0.35">
      <c r="B124" s="144" t="str">
        <f>'3) Pre-Opening Budget'!B126</f>
        <v>Legal Fees</v>
      </c>
      <c r="C124" s="87">
        <v>2500</v>
      </c>
      <c r="D124" s="10"/>
      <c r="E124" s="87">
        <f>C124</f>
        <v>2500</v>
      </c>
      <c r="F124" s="165" t="s">
        <v>287</v>
      </c>
      <c r="G124" s="10"/>
      <c r="H124" s="11"/>
    </row>
    <row r="125" spans="1:8" x14ac:dyDescent="0.35">
      <c r="B125" s="144" t="str">
        <f>'3) Pre-Opening Budget'!B127</f>
        <v>Copier Lease and Usage</v>
      </c>
      <c r="C125" s="87">
        <v>1400</v>
      </c>
      <c r="D125" s="10"/>
      <c r="E125" s="87">
        <f>C125*12</f>
        <v>16800</v>
      </c>
      <c r="F125" s="165" t="s">
        <v>329</v>
      </c>
      <c r="G125" s="10"/>
      <c r="H125" s="11"/>
    </row>
    <row r="126" spans="1:8" x14ac:dyDescent="0.35">
      <c r="B126" s="144" t="str">
        <f>'3) Pre-Opening Budget'!B128</f>
        <v>Internet and Phone Service</v>
      </c>
      <c r="C126" s="87">
        <v>200</v>
      </c>
      <c r="D126" s="10"/>
      <c r="E126" s="87">
        <f>C126*12</f>
        <v>2400</v>
      </c>
      <c r="F126" s="165" t="s">
        <v>288</v>
      </c>
      <c r="G126" s="10"/>
      <c r="H126" s="11"/>
    </row>
    <row r="127" spans="1:8" x14ac:dyDescent="0.35">
      <c r="B127" s="144" t="str">
        <f>'3) Pre-Opening Budget'!B129</f>
        <v>Cell Phone Service</v>
      </c>
      <c r="C127" s="87">
        <v>50</v>
      </c>
      <c r="D127" s="10"/>
      <c r="E127" s="87">
        <f>C127*12</f>
        <v>600</v>
      </c>
      <c r="F127" s="165" t="s">
        <v>440</v>
      </c>
      <c r="G127" s="10"/>
      <c r="H127" s="11"/>
    </row>
    <row r="128" spans="1:8" x14ac:dyDescent="0.35">
      <c r="B128" s="144" t="str">
        <f>'3) Pre-Opening Budget'!B130</f>
        <v>Payroll Services</v>
      </c>
      <c r="C128" s="87">
        <v>300</v>
      </c>
      <c r="D128" s="10"/>
      <c r="E128" s="87">
        <f>C128*12</f>
        <v>3600</v>
      </c>
      <c r="F128" s="165" t="s">
        <v>289</v>
      </c>
      <c r="G128" s="10"/>
      <c r="H128" s="11"/>
    </row>
    <row r="129" spans="2:8" x14ac:dyDescent="0.35">
      <c r="B129" s="144" t="str">
        <f>'3) Pre-Opening Budget'!B131</f>
        <v>Health Services</v>
      </c>
      <c r="C129" s="87">
        <v>15</v>
      </c>
      <c r="D129" s="10"/>
      <c r="E129" s="87">
        <f>C129*'2) Student Assumptions'!E29</f>
        <v>1800</v>
      </c>
      <c r="F129" s="165" t="s">
        <v>315</v>
      </c>
      <c r="G129" s="10"/>
      <c r="H129" s="11"/>
    </row>
    <row r="130" spans="2:8" x14ac:dyDescent="0.35">
      <c r="B130" s="144" t="str">
        <f>'3) Pre-Opening Budget'!B132</f>
        <v>Transportation</v>
      </c>
      <c r="C130" s="87">
        <v>45000</v>
      </c>
      <c r="D130" s="10"/>
      <c r="E130" s="87">
        <f>C130</f>
        <v>45000</v>
      </c>
      <c r="F130" s="165" t="s">
        <v>290</v>
      </c>
      <c r="G130" s="10"/>
      <c r="H130" s="11"/>
    </row>
    <row r="131" spans="2:8" x14ac:dyDescent="0.35">
      <c r="B131" s="144" t="str">
        <f>'3) Pre-Opening Budget'!B133</f>
        <v>IT Services</v>
      </c>
      <c r="C131" s="87">
        <v>9600</v>
      </c>
      <c r="D131" s="10"/>
      <c r="E131" s="87">
        <f>(500*12)+30*'2) Student Assumptions'!E29</f>
        <v>9600</v>
      </c>
      <c r="F131" s="165" t="s">
        <v>291</v>
      </c>
      <c r="G131" s="10"/>
      <c r="H131" s="11"/>
    </row>
    <row r="132" spans="2:8" x14ac:dyDescent="0.35">
      <c r="B132" s="144" t="str">
        <f>'3) Pre-Opening Budget'!B134</f>
        <v>Contracted SPED Services</v>
      </c>
      <c r="C132" s="87">
        <v>1000</v>
      </c>
      <c r="D132" s="10"/>
      <c r="E132" s="87">
        <f>C132*'2) Student Assumptions'!E63</f>
        <v>16000</v>
      </c>
      <c r="F132" s="165" t="s">
        <v>326</v>
      </c>
      <c r="G132" s="10"/>
      <c r="H132" s="11"/>
    </row>
    <row r="133" spans="2:8" x14ac:dyDescent="0.35">
      <c r="B133" s="144" t="str">
        <f>'3) Pre-Opening Budget'!B135</f>
        <v>Insurance</v>
      </c>
      <c r="C133" s="87">
        <v>125</v>
      </c>
      <c r="D133" s="10"/>
      <c r="E133" s="87">
        <f>C133*'2) Student Assumptions'!E29</f>
        <v>15000</v>
      </c>
      <c r="F133" s="165" t="s">
        <v>340</v>
      </c>
      <c r="G133" s="10"/>
      <c r="H133" s="11"/>
    </row>
    <row r="134" spans="2:8" x14ac:dyDescent="0.35">
      <c r="B134" s="144" t="str">
        <f>'3) Pre-Opening Budget'!B136</f>
        <v>Postal Charges</v>
      </c>
      <c r="C134" s="87">
        <v>2</v>
      </c>
      <c r="D134" s="10"/>
      <c r="E134" s="87">
        <f>C134*'2) Student Assumptions'!E29</f>
        <v>240</v>
      </c>
      <c r="F134" s="165" t="s">
        <v>292</v>
      </c>
      <c r="G134" s="10"/>
      <c r="H134" s="11"/>
    </row>
    <row r="135" spans="2:8" x14ac:dyDescent="0.35">
      <c r="B135" s="144" t="str">
        <f>'3) Pre-Opening Budget'!B137</f>
        <v>Bank Charges</v>
      </c>
      <c r="C135" s="87">
        <v>20</v>
      </c>
      <c r="D135" s="10"/>
      <c r="E135" s="87">
        <f>C135*12</f>
        <v>240</v>
      </c>
      <c r="F135" s="165" t="s">
        <v>293</v>
      </c>
      <c r="G135" s="10"/>
      <c r="H135" s="11"/>
    </row>
    <row r="136" spans="2:8" x14ac:dyDescent="0.35">
      <c r="B136" s="39"/>
      <c r="C136" s="58"/>
      <c r="D136" s="58"/>
      <c r="E136" s="73"/>
      <c r="F136" s="171"/>
      <c r="G136" s="10"/>
      <c r="H136" s="11"/>
    </row>
    <row r="137" spans="2:8" x14ac:dyDescent="0.35">
      <c r="B137" s="39" t="s">
        <v>124</v>
      </c>
      <c r="C137" s="58"/>
      <c r="D137" s="58"/>
      <c r="E137" s="73"/>
      <c r="F137" s="171"/>
      <c r="G137" s="10"/>
      <c r="H137" s="11"/>
    </row>
    <row r="138" spans="2:8" ht="14.5" customHeight="1" x14ac:dyDescent="0.35">
      <c r="B138" s="144" t="str">
        <f>'3) Pre-Opening Budget'!B140</f>
        <v>Textbooks and Instructional Supplies</v>
      </c>
      <c r="C138" s="87">
        <v>100</v>
      </c>
      <c r="D138" s="10"/>
      <c r="E138" s="87">
        <f>C138*'2) Student Assumptions'!$E$29</f>
        <v>12000</v>
      </c>
      <c r="F138" s="165" t="s">
        <v>316</v>
      </c>
      <c r="G138" s="10"/>
      <c r="H138" s="11"/>
    </row>
    <row r="139" spans="2:8" ht="14.5" customHeight="1" x14ac:dyDescent="0.35">
      <c r="B139" s="144" t="str">
        <f>'3) Pre-Opening Budget'!B141</f>
        <v>Education Software</v>
      </c>
      <c r="C139" s="87">
        <v>100</v>
      </c>
      <c r="D139" s="10"/>
      <c r="E139" s="87">
        <f>C139*'2) Student Assumptions'!$E$29</f>
        <v>12000</v>
      </c>
      <c r="F139" s="165" t="s">
        <v>294</v>
      </c>
      <c r="G139" s="10"/>
      <c r="H139" s="11"/>
    </row>
    <row r="140" spans="2:8" ht="14.5" customHeight="1" x14ac:dyDescent="0.35">
      <c r="B140" s="144" t="str">
        <f>'3) Pre-Opening Budget'!B142</f>
        <v>Student Supplies</v>
      </c>
      <c r="C140" s="87">
        <v>50</v>
      </c>
      <c r="D140" s="10"/>
      <c r="E140" s="87">
        <f>C140*'2) Student Assumptions'!$E$29</f>
        <v>6000</v>
      </c>
      <c r="F140" s="165" t="s">
        <v>317</v>
      </c>
      <c r="G140" s="10"/>
      <c r="H140" s="11"/>
    </row>
    <row r="141" spans="2:8" ht="14.5" customHeight="1" x14ac:dyDescent="0.35">
      <c r="B141" s="144" t="str">
        <f>'3) Pre-Opening Budget'!B143</f>
        <v>Faculty Supplies</v>
      </c>
      <c r="C141" s="87">
        <v>50</v>
      </c>
      <c r="D141" s="10"/>
      <c r="E141" s="87">
        <f>C141*12*10</f>
        <v>6000</v>
      </c>
      <c r="F141" s="165" t="s">
        <v>330</v>
      </c>
      <c r="G141" s="10"/>
      <c r="H141" s="11"/>
    </row>
    <row r="142" spans="2:8" ht="14.5" customHeight="1" x14ac:dyDescent="0.35">
      <c r="B142" s="144" t="str">
        <f>'3) Pre-Opening Budget'!B144</f>
        <v>Library Books</v>
      </c>
      <c r="C142" s="87">
        <v>50</v>
      </c>
      <c r="D142" s="10"/>
      <c r="E142" s="87">
        <f>C142*'2) Student Assumptions'!$E$29</f>
        <v>6000</v>
      </c>
      <c r="F142" s="165" t="s">
        <v>318</v>
      </c>
      <c r="G142" s="10"/>
      <c r="H142" s="11"/>
    </row>
    <row r="143" spans="2:8" ht="14.5" customHeight="1" x14ac:dyDescent="0.35">
      <c r="B143" s="144" t="str">
        <f>'3) Pre-Opening Budget'!B145</f>
        <v>Testing &amp; Evaluation</v>
      </c>
      <c r="C143" s="87">
        <v>40</v>
      </c>
      <c r="D143" s="10"/>
      <c r="E143" s="87">
        <f>C143*'2) Student Assumptions'!$E$29</f>
        <v>4800</v>
      </c>
      <c r="F143" s="165" t="s">
        <v>325</v>
      </c>
      <c r="G143" s="10"/>
      <c r="H143" s="11"/>
    </row>
    <row r="144" spans="2:8" ht="14.5" customHeight="1" x14ac:dyDescent="0.35">
      <c r="B144" s="144" t="str">
        <f>'3) Pre-Opening Budget'!B146</f>
        <v>Student Laptops</v>
      </c>
      <c r="C144" s="87">
        <v>250</v>
      </c>
      <c r="D144" s="10"/>
      <c r="E144" s="87">
        <f>C144*'2) Student Assumptions'!$E$29/3</f>
        <v>10000</v>
      </c>
      <c r="F144" s="244" t="s">
        <v>319</v>
      </c>
      <c r="G144" s="10"/>
      <c r="H144" s="11"/>
    </row>
    <row r="145" spans="2:8" ht="14.5" customHeight="1" x14ac:dyDescent="0.35">
      <c r="B145" s="144" t="str">
        <f>'3) Pre-Opening Budget'!B147</f>
        <v>Faculty Laptops</v>
      </c>
      <c r="C145" s="87">
        <v>900</v>
      </c>
      <c r="D145" s="10"/>
      <c r="E145" s="87">
        <f>C145*'5) Year 1-5 Staff Assumptions'!E40-1800</f>
        <v>9000</v>
      </c>
      <c r="F145" s="165" t="s">
        <v>320</v>
      </c>
      <c r="G145" s="10"/>
      <c r="H145" s="11"/>
    </row>
    <row r="146" spans="2:8" ht="14.5" customHeight="1" x14ac:dyDescent="0.35">
      <c r="B146" s="144" t="str">
        <f>'3) Pre-Opening Budget'!B148</f>
        <v>Office Supplies</v>
      </c>
      <c r="C146" s="87">
        <v>350</v>
      </c>
      <c r="D146" s="10"/>
      <c r="E146" s="87">
        <f>C146*12</f>
        <v>4200</v>
      </c>
      <c r="F146" s="165" t="s">
        <v>295</v>
      </c>
      <c r="G146" s="10"/>
      <c r="H146" s="11"/>
    </row>
    <row r="147" spans="2:8" ht="14.5" customHeight="1" x14ac:dyDescent="0.35">
      <c r="B147" s="144" t="str">
        <f>'3) Pre-Opening Budget'!B149</f>
        <v>Printing Paper</v>
      </c>
      <c r="C147" s="87">
        <v>40</v>
      </c>
      <c r="D147" s="10"/>
      <c r="E147" s="87">
        <f>C147*'2) Student Assumptions'!$E$29</f>
        <v>4800</v>
      </c>
      <c r="F147" s="165" t="s">
        <v>298</v>
      </c>
      <c r="G147" s="10"/>
      <c r="H147" s="11"/>
    </row>
    <row r="148" spans="2:8" ht="14.5" customHeight="1" x14ac:dyDescent="0.35">
      <c r="B148" s="144" t="str">
        <f>'3) Pre-Opening Budget'!B150</f>
        <v>Marketing Materials</v>
      </c>
      <c r="C148" s="87">
        <v>1000</v>
      </c>
      <c r="D148" s="10"/>
      <c r="E148" s="87">
        <f>C148</f>
        <v>1000</v>
      </c>
      <c r="F148" s="165" t="s">
        <v>296</v>
      </c>
      <c r="G148" s="10"/>
      <c r="H148" s="11"/>
    </row>
    <row r="149" spans="2:8" ht="14.5" customHeight="1" x14ac:dyDescent="0.35">
      <c r="B149" s="144" t="str">
        <f>'3) Pre-Opening Budget'!B151</f>
        <v>Student Uniforms</v>
      </c>
      <c r="C149" s="87">
        <v>30</v>
      </c>
      <c r="D149" s="10"/>
      <c r="E149" s="87">
        <f>C149*'2) Student Assumptions'!$E$29</f>
        <v>3600</v>
      </c>
      <c r="F149" s="165" t="s">
        <v>321</v>
      </c>
      <c r="G149" s="10"/>
      <c r="H149" s="11"/>
    </row>
    <row r="150" spans="2:8" ht="14.5" customHeight="1" x14ac:dyDescent="0.35">
      <c r="B150" s="144" t="str">
        <f>'3) Pre-Opening Budget'!B152</f>
        <v>Gifts &amp; Awards - Students</v>
      </c>
      <c r="C150" s="87">
        <v>30</v>
      </c>
      <c r="D150" s="10"/>
      <c r="E150" s="87">
        <f>C150*'2) Student Assumptions'!$E$29</f>
        <v>3600</v>
      </c>
      <c r="F150" s="165" t="s">
        <v>297</v>
      </c>
      <c r="G150" s="10"/>
      <c r="H150" s="11"/>
    </row>
    <row r="151" spans="2:8" ht="14.5" customHeight="1" x14ac:dyDescent="0.35">
      <c r="B151" s="144" t="str">
        <f>'3) Pre-Opening Budget'!B153</f>
        <v>Gifts &amp; Awards - Teachers and Staff</v>
      </c>
      <c r="C151" s="87">
        <v>75</v>
      </c>
      <c r="D151" s="10"/>
      <c r="E151" s="87">
        <f>C151*11</f>
        <v>825</v>
      </c>
      <c r="F151" s="165" t="s">
        <v>299</v>
      </c>
      <c r="G151" s="10"/>
      <c r="H151" s="11"/>
    </row>
    <row r="152" spans="2:8" ht="14.5" customHeight="1" x14ac:dyDescent="0.35">
      <c r="B152" s="144" t="str">
        <f>'3) Pre-Opening Budget'!B154</f>
        <v>Health Supplies</v>
      </c>
      <c r="C152" s="87">
        <v>1500</v>
      </c>
      <c r="D152" s="10"/>
      <c r="E152" s="87">
        <v>1500</v>
      </c>
      <c r="F152" s="165" t="s">
        <v>478</v>
      </c>
      <c r="G152" s="10"/>
      <c r="H152" s="11"/>
    </row>
    <row r="153" spans="2:8" ht="15" thickBot="1" x14ac:dyDescent="0.4">
      <c r="B153" s="202"/>
      <c r="C153" s="203"/>
      <c r="D153" s="203"/>
      <c r="E153" s="204"/>
      <c r="F153" s="211"/>
      <c r="G153" s="23"/>
      <c r="H153" s="24"/>
    </row>
    <row r="154" spans="2:8" x14ac:dyDescent="0.35">
      <c r="B154" s="39" t="s">
        <v>127</v>
      </c>
      <c r="C154" s="58"/>
      <c r="D154" s="58"/>
      <c r="E154" s="73"/>
      <c r="F154" s="171"/>
      <c r="G154" s="10"/>
      <c r="H154" s="11"/>
    </row>
    <row r="155" spans="2:8" x14ac:dyDescent="0.35">
      <c r="B155" s="144" t="str">
        <f>'3) Pre-Opening Budget'!B157</f>
        <v>Rent</v>
      </c>
      <c r="C155" s="87">
        <v>5</v>
      </c>
      <c r="D155" s="10"/>
      <c r="E155" s="87">
        <f>C155*80*'2) Student Assumptions'!E$29</f>
        <v>48000</v>
      </c>
      <c r="F155" s="165" t="s">
        <v>373</v>
      </c>
      <c r="G155" s="10"/>
      <c r="H155" s="11"/>
    </row>
    <row r="156" spans="2:8" x14ac:dyDescent="0.35">
      <c r="B156" s="144" t="str">
        <f>'3) Pre-Opening Budget'!B158</f>
        <v>Utilities</v>
      </c>
      <c r="C156" s="87">
        <v>2</v>
      </c>
      <c r="D156" s="10"/>
      <c r="E156" s="87">
        <f>C156*80*'2) Student Assumptions'!E$29</f>
        <v>19200</v>
      </c>
      <c r="F156" s="165" t="s">
        <v>374</v>
      </c>
      <c r="G156" s="10"/>
      <c r="H156" s="11"/>
    </row>
    <row r="157" spans="2:8" x14ac:dyDescent="0.35">
      <c r="B157" s="144" t="str">
        <f>'3) Pre-Opening Budget'!B159</f>
        <v xml:space="preserve">Custodial </v>
      </c>
      <c r="C157" s="87">
        <v>2</v>
      </c>
      <c r="D157" s="10"/>
      <c r="E157" s="87">
        <f>C157*80*'2) Student Assumptions'!E$29</f>
        <v>19200</v>
      </c>
      <c r="F157" s="165" t="s">
        <v>374</v>
      </c>
      <c r="G157" s="10"/>
      <c r="H157" s="11"/>
    </row>
    <row r="158" spans="2:8" x14ac:dyDescent="0.35">
      <c r="B158" s="144" t="str">
        <f>'3) Pre-Opening Budget'!B160</f>
        <v>Waste</v>
      </c>
      <c r="C158" s="87">
        <v>200</v>
      </c>
      <c r="D158" s="10"/>
      <c r="E158" s="87">
        <f>C158*12</f>
        <v>2400</v>
      </c>
      <c r="F158" s="165" t="s">
        <v>288</v>
      </c>
      <c r="G158" s="10"/>
      <c r="H158" s="11"/>
    </row>
    <row r="159" spans="2:8" x14ac:dyDescent="0.35">
      <c r="B159" s="144" t="str">
        <f>'3) Pre-Opening Budget'!B161</f>
        <v>Faculty Furniture</v>
      </c>
      <c r="C159" s="87">
        <v>2500</v>
      </c>
      <c r="D159" s="10"/>
      <c r="E159" s="87">
        <f>C159*'2) Student Assumptions'!E$53</f>
        <v>10000</v>
      </c>
      <c r="F159" s="165" t="s">
        <v>372</v>
      </c>
      <c r="G159" s="10"/>
      <c r="H159" s="11"/>
    </row>
    <row r="160" spans="2:8" x14ac:dyDescent="0.35">
      <c r="B160" s="144" t="str">
        <f>'3) Pre-Opening Budget'!B162</f>
        <v>Student Furniture</v>
      </c>
      <c r="C160" s="87">
        <v>5000</v>
      </c>
      <c r="D160" s="10"/>
      <c r="E160" s="87">
        <f>C160*'2) Student Assumptions'!E$53</f>
        <v>20000</v>
      </c>
      <c r="F160" s="165" t="s">
        <v>322</v>
      </c>
      <c r="G160" s="10"/>
      <c r="H160" s="11"/>
    </row>
    <row r="161" spans="2:8" x14ac:dyDescent="0.35">
      <c r="B161" s="144" t="str">
        <f>'3) Pre-Opening Budget'!B163</f>
        <v>Internet/Network Equipment</v>
      </c>
      <c r="C161" s="87">
        <v>8000</v>
      </c>
      <c r="D161" s="10"/>
      <c r="E161" s="87">
        <v>8000</v>
      </c>
      <c r="F161" s="165" t="s">
        <v>300</v>
      </c>
      <c r="G161" s="10"/>
      <c r="H161" s="11"/>
    </row>
    <row r="162" spans="2:8" x14ac:dyDescent="0.35">
      <c r="B162" s="144" t="str">
        <f>'3) Pre-Opening Budget'!B164</f>
        <v>Other Equipment</v>
      </c>
      <c r="C162" s="87">
        <v>5000</v>
      </c>
      <c r="D162" s="10"/>
      <c r="E162" s="87">
        <v>5000</v>
      </c>
      <c r="F162" s="165" t="s">
        <v>323</v>
      </c>
      <c r="G162" s="10"/>
      <c r="H162" s="11"/>
    </row>
    <row r="163" spans="2:8" x14ac:dyDescent="0.35">
      <c r="B163" s="144" t="str">
        <f>'3) Pre-Opening Budget'!B165</f>
        <v>Building Decorum</v>
      </c>
      <c r="C163" s="87">
        <v>5000</v>
      </c>
      <c r="D163" s="10"/>
      <c r="E163" s="87">
        <v>5000</v>
      </c>
      <c r="F163" s="165" t="s">
        <v>301</v>
      </c>
      <c r="G163" s="10"/>
      <c r="H163" s="11"/>
    </row>
    <row r="164" spans="2:8" x14ac:dyDescent="0.35">
      <c r="B164" s="144" t="str">
        <f>'3) Pre-Opening Budget'!B166</f>
        <v>Tenant Improvements</v>
      </c>
      <c r="C164" s="87">
        <v>2</v>
      </c>
      <c r="D164" s="10"/>
      <c r="E164" s="87">
        <f>C164*80*'2) Student Assumptions'!E29</f>
        <v>19200</v>
      </c>
      <c r="F164" s="165" t="s">
        <v>371</v>
      </c>
      <c r="G164" s="10"/>
      <c r="H164" s="11"/>
    </row>
    <row r="165" spans="2:8" x14ac:dyDescent="0.35">
      <c r="B165" s="144" t="str">
        <f>'3) Pre-Opening Budget'!B167</f>
        <v>Other</v>
      </c>
      <c r="C165" s="87">
        <v>0</v>
      </c>
      <c r="D165" s="10"/>
      <c r="E165" s="87">
        <v>0</v>
      </c>
      <c r="F165" s="165"/>
      <c r="G165" s="10"/>
      <c r="H165" s="11"/>
    </row>
    <row r="166" spans="2:8" x14ac:dyDescent="0.35">
      <c r="B166" s="144" t="str">
        <f>'3) Pre-Opening Budget'!B168</f>
        <v>Other</v>
      </c>
      <c r="C166" s="87">
        <v>0</v>
      </c>
      <c r="D166" s="10"/>
      <c r="E166" s="87">
        <v>0</v>
      </c>
      <c r="F166" s="165"/>
      <c r="G166" s="10"/>
      <c r="H166" s="11"/>
    </row>
    <row r="167" spans="2:8" x14ac:dyDescent="0.35">
      <c r="B167" s="144" t="str">
        <f>'3) Pre-Opening Budget'!B169</f>
        <v>Other</v>
      </c>
      <c r="C167" s="87">
        <v>0</v>
      </c>
      <c r="D167" s="10"/>
      <c r="E167" s="87">
        <v>0</v>
      </c>
      <c r="F167" s="165"/>
      <c r="G167" s="10"/>
      <c r="H167" s="11"/>
    </row>
    <row r="168" spans="2:8" x14ac:dyDescent="0.35">
      <c r="B168" s="144" t="str">
        <f>'3) Pre-Opening Budget'!B170</f>
        <v>Other</v>
      </c>
      <c r="C168" s="87">
        <v>0</v>
      </c>
      <c r="D168" s="10"/>
      <c r="E168" s="87">
        <v>0</v>
      </c>
      <c r="F168" s="165"/>
      <c r="G168" s="10"/>
      <c r="H168" s="11"/>
    </row>
    <row r="169" spans="2:8" x14ac:dyDescent="0.35">
      <c r="B169" s="144" t="str">
        <f>'3) Pre-Opening Budget'!B171</f>
        <v>Other</v>
      </c>
      <c r="C169" s="87">
        <v>0</v>
      </c>
      <c r="D169" s="10"/>
      <c r="E169" s="87">
        <v>0</v>
      </c>
      <c r="F169" s="165"/>
      <c r="G169" s="10"/>
      <c r="H169" s="11"/>
    </row>
    <row r="170" spans="2:8" x14ac:dyDescent="0.35">
      <c r="B170" s="39"/>
      <c r="C170" s="58"/>
      <c r="D170" s="58"/>
      <c r="E170" s="73"/>
      <c r="F170" s="171"/>
      <c r="G170" s="10"/>
      <c r="H170" s="11"/>
    </row>
    <row r="171" spans="2:8" x14ac:dyDescent="0.35">
      <c r="B171" s="39" t="s">
        <v>125</v>
      </c>
      <c r="C171" s="58"/>
      <c r="D171" s="58"/>
      <c r="E171" s="73"/>
      <c r="F171" s="171"/>
      <c r="G171" s="10"/>
      <c r="H171" s="11"/>
    </row>
    <row r="172" spans="2:8" x14ac:dyDescent="0.35">
      <c r="B172" s="144" t="str">
        <f>'3) Pre-Opening Budget'!B174</f>
        <v>Staff Recruitment</v>
      </c>
      <c r="C172" s="87">
        <v>15000</v>
      </c>
      <c r="D172" s="10"/>
      <c r="E172" s="87">
        <v>15000</v>
      </c>
      <c r="F172" s="165" t="s">
        <v>346</v>
      </c>
      <c r="G172" s="10"/>
      <c r="H172" s="11"/>
    </row>
    <row r="173" spans="2:8" ht="16.149999999999999" customHeight="1" x14ac:dyDescent="0.35">
      <c r="B173" s="144" t="str">
        <f>'3) Pre-Opening Budget'!B175</f>
        <v>Student Recruitment &amp; Community Engagement</v>
      </c>
      <c r="C173" s="87">
        <v>50</v>
      </c>
      <c r="D173" s="10"/>
      <c r="E173" s="87">
        <f>C173*'2) Student Assumptions'!F29</f>
        <v>9000</v>
      </c>
      <c r="F173" s="165" t="s">
        <v>324</v>
      </c>
      <c r="G173" s="10"/>
      <c r="H173" s="11"/>
    </row>
    <row r="174" spans="2:8" x14ac:dyDescent="0.35">
      <c r="B174" s="144" t="str">
        <f>'3) Pre-Opening Budget'!B176</f>
        <v>Parent &amp; Staff Meetings</v>
      </c>
      <c r="C174" s="87">
        <v>400</v>
      </c>
      <c r="D174" s="10"/>
      <c r="E174" s="87">
        <f>C174*10</f>
        <v>4000</v>
      </c>
      <c r="F174" s="165" t="s">
        <v>302</v>
      </c>
      <c r="G174" s="10"/>
      <c r="H174" s="11"/>
    </row>
    <row r="175" spans="2:8" x14ac:dyDescent="0.35">
      <c r="B175" s="144" t="str">
        <f>'3) Pre-Opening Budget'!B177</f>
        <v>Authorizer Fee</v>
      </c>
      <c r="C175" s="87">
        <v>31187</v>
      </c>
      <c r="D175" s="10"/>
      <c r="E175" s="87">
        <v>31187</v>
      </c>
      <c r="F175" s="165" t="s">
        <v>303</v>
      </c>
      <c r="G175" s="10"/>
      <c r="H175" s="11"/>
    </row>
    <row r="176" spans="2:8" x14ac:dyDescent="0.35">
      <c r="B176" s="144" t="str">
        <f>'3) Pre-Opening Budget'!B178</f>
        <v>Other</v>
      </c>
      <c r="C176" s="87">
        <v>0</v>
      </c>
      <c r="D176" s="10"/>
      <c r="E176" s="87">
        <v>0</v>
      </c>
      <c r="F176" s="165"/>
      <c r="G176" s="10"/>
      <c r="H176" s="11"/>
    </row>
    <row r="177" spans="2:8" x14ac:dyDescent="0.35">
      <c r="B177" s="39"/>
      <c r="C177" s="58"/>
      <c r="D177" s="58"/>
      <c r="E177" s="73"/>
      <c r="F177" s="171"/>
      <c r="G177" s="10"/>
      <c r="H177" s="11"/>
    </row>
    <row r="178" spans="2:8" x14ac:dyDescent="0.35">
      <c r="B178" s="39" t="s">
        <v>126</v>
      </c>
      <c r="C178" s="58"/>
      <c r="D178" s="58"/>
      <c r="E178" s="73"/>
      <c r="F178" s="171"/>
      <c r="G178" s="10"/>
      <c r="H178" s="11"/>
    </row>
    <row r="179" spans="2:8" x14ac:dyDescent="0.35">
      <c r="B179" s="144" t="str">
        <f>'3) Pre-Opening Budget'!B181</f>
        <v>Other</v>
      </c>
      <c r="C179" s="87">
        <v>0</v>
      </c>
      <c r="D179" s="10"/>
      <c r="E179" s="87">
        <v>0</v>
      </c>
      <c r="F179" s="165"/>
      <c r="G179" s="10"/>
      <c r="H179" s="11"/>
    </row>
    <row r="180" spans="2:8" x14ac:dyDescent="0.35">
      <c r="B180" s="144" t="str">
        <f>'3) Pre-Opening Budget'!B182</f>
        <v>Other</v>
      </c>
      <c r="C180" s="87">
        <v>0</v>
      </c>
      <c r="D180" s="10"/>
      <c r="E180" s="87">
        <v>0</v>
      </c>
      <c r="F180" s="165"/>
      <c r="G180" s="10"/>
      <c r="H180" s="11"/>
    </row>
    <row r="181" spans="2:8" x14ac:dyDescent="0.35">
      <c r="B181" s="144" t="str">
        <f>'3) Pre-Opening Budget'!B183</f>
        <v>Other</v>
      </c>
      <c r="C181" s="87">
        <v>0</v>
      </c>
      <c r="D181" s="10"/>
      <c r="E181" s="87">
        <v>0</v>
      </c>
      <c r="F181" s="165"/>
      <c r="G181" s="10"/>
      <c r="H181" s="11"/>
    </row>
    <row r="182" spans="2:8" x14ac:dyDescent="0.35">
      <c r="B182" s="144" t="str">
        <f>'3) Pre-Opening Budget'!B184</f>
        <v>Other</v>
      </c>
      <c r="C182" s="87">
        <v>0</v>
      </c>
      <c r="D182" s="10"/>
      <c r="E182" s="87">
        <v>0</v>
      </c>
      <c r="F182" s="165"/>
      <c r="G182" s="10"/>
      <c r="H182" s="11"/>
    </row>
    <row r="183" spans="2:8" x14ac:dyDescent="0.35">
      <c r="B183" s="144" t="str">
        <f>'3) Pre-Opening Budget'!B185</f>
        <v>Other</v>
      </c>
      <c r="C183" s="87">
        <v>0</v>
      </c>
      <c r="D183" s="10"/>
      <c r="E183" s="87">
        <v>0</v>
      </c>
      <c r="F183" s="165"/>
      <c r="G183" s="10"/>
      <c r="H183" s="11"/>
    </row>
    <row r="184" spans="2:8" x14ac:dyDescent="0.35">
      <c r="B184" s="39"/>
      <c r="C184" s="58"/>
      <c r="D184" s="58"/>
      <c r="E184" s="73"/>
      <c r="F184" s="72"/>
      <c r="G184" s="10"/>
      <c r="H184" s="11"/>
    </row>
    <row r="185" spans="2:8" ht="15" thickBot="1" x14ac:dyDescent="0.4">
      <c r="B185" s="39" t="s">
        <v>129</v>
      </c>
      <c r="C185" s="58"/>
      <c r="D185" s="58"/>
      <c r="E185" s="71">
        <f>SUM(E121:E135,E138:E152,E155:E169,E172:E176,E179:E183)</f>
        <v>524492</v>
      </c>
      <c r="F185" s="72"/>
      <c r="G185" s="10"/>
      <c r="H185" s="11"/>
    </row>
    <row r="186" spans="2:8" ht="15" thickTop="1" x14ac:dyDescent="0.35">
      <c r="B186" s="39"/>
      <c r="C186" s="58"/>
      <c r="D186" s="58"/>
      <c r="E186" s="73"/>
      <c r="F186" s="72"/>
      <c r="G186" s="10"/>
      <c r="H186" s="11"/>
    </row>
    <row r="187" spans="2:8" ht="19" thickBot="1" x14ac:dyDescent="0.5">
      <c r="B187" s="85" t="s">
        <v>132</v>
      </c>
      <c r="C187" s="58"/>
      <c r="D187" s="58"/>
      <c r="E187" s="71">
        <f>E85+E110+E185</f>
        <v>1297375.3999999999</v>
      </c>
      <c r="F187" s="72"/>
      <c r="G187" s="10"/>
      <c r="H187" s="11"/>
    </row>
    <row r="188" spans="2:8" ht="15.5" thickTop="1" thickBot="1" x14ac:dyDescent="0.4">
      <c r="B188" s="22"/>
      <c r="C188" s="23"/>
      <c r="D188" s="23"/>
      <c r="E188" s="23"/>
      <c r="F188" s="86"/>
      <c r="G188" s="23"/>
      <c r="H188" s="24"/>
    </row>
    <row r="189" spans="2:8" x14ac:dyDescent="0.35">
      <c r="G189" s="10"/>
      <c r="H189" s="10"/>
    </row>
  </sheetData>
  <sheetProtection password="A0DA" sheet="1" objects="1" scenarios="1" formatColumns="0" formatRows="0"/>
  <mergeCells count="4">
    <mergeCell ref="C8:F8"/>
    <mergeCell ref="C50:F50"/>
    <mergeCell ref="C88:F88"/>
    <mergeCell ref="C113:F113"/>
  </mergeCells>
  <pageMargins left="0.7" right="0.7" top="0.75" bottom="0.75" header="0.3" footer="0.3"/>
  <pageSetup scale="59" fitToHeight="6" orientation="landscape" horizontalDpi="1200" verticalDpi="1200" r:id="rId1"/>
  <headerFooter>
    <oddFooter>&amp;L&amp;A&amp;RPage &amp;P of &amp;N</oddFooter>
  </headerFooter>
  <rowBreaks count="3" manualBreakCount="3">
    <brk id="49" max="8" man="1"/>
    <brk id="111" max="8" man="1"/>
    <brk id="153"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V227"/>
  <sheetViews>
    <sheetView showGridLines="0" topLeftCell="B28" zoomScale="60" zoomScaleNormal="60" zoomScaleSheetLayoutView="100" workbookViewId="0">
      <selection activeCell="T28" sqref="T28"/>
    </sheetView>
  </sheetViews>
  <sheetFormatPr defaultColWidth="8.7265625" defaultRowHeight="14.5" x14ac:dyDescent="0.35"/>
  <cols>
    <col min="1" max="1" width="4.7265625" style="92" customWidth="1"/>
    <col min="2" max="2" width="31" style="92" customWidth="1"/>
    <col min="3" max="3" width="3" style="92" hidden="1" customWidth="1"/>
    <col min="4" max="4" width="3.453125" style="92" hidden="1" customWidth="1"/>
    <col min="5" max="19" width="12.7265625" style="92" customWidth="1"/>
    <col min="20" max="20" width="43.7265625" style="92" bestFit="1" customWidth="1"/>
    <col min="21" max="23" width="4.7265625" style="92" customWidth="1"/>
    <col min="24" max="16384" width="8.7265625" style="92"/>
  </cols>
  <sheetData>
    <row r="1" spans="1:22" ht="15" thickBot="1" x14ac:dyDescent="0.4"/>
    <row r="2" spans="1:22" x14ac:dyDescent="0.35">
      <c r="B2" s="93"/>
      <c r="C2" s="94"/>
      <c r="D2" s="94"/>
      <c r="E2" s="94"/>
      <c r="F2" s="94"/>
      <c r="G2" s="94"/>
      <c r="H2" s="94"/>
      <c r="I2" s="94"/>
      <c r="J2" s="94"/>
      <c r="K2" s="94"/>
      <c r="L2" s="94"/>
      <c r="M2" s="94"/>
      <c r="N2" s="94"/>
      <c r="O2" s="94"/>
      <c r="P2" s="94"/>
      <c r="Q2" s="94"/>
      <c r="R2" s="94"/>
      <c r="S2" s="94"/>
      <c r="T2" s="94"/>
      <c r="U2" s="94"/>
      <c r="V2" s="95"/>
    </row>
    <row r="3" spans="1:22" x14ac:dyDescent="0.35">
      <c r="B3" s="96"/>
      <c r="C3" s="97"/>
      <c r="D3" s="97"/>
      <c r="E3" s="320" t="str">
        <f>'1) Proposed School Information'!E12</f>
        <v>Luceo Collegiate School for the Arts Charter School</v>
      </c>
      <c r="F3" s="320"/>
      <c r="G3" s="321"/>
      <c r="H3" s="321"/>
      <c r="I3" s="321"/>
      <c r="J3" s="321"/>
      <c r="K3" s="321"/>
      <c r="L3" s="321"/>
      <c r="M3" s="321"/>
      <c r="N3" s="321"/>
      <c r="O3" s="321"/>
      <c r="P3" s="321"/>
      <c r="Q3" s="321"/>
      <c r="R3" s="321"/>
      <c r="S3" s="321"/>
      <c r="T3" s="186"/>
      <c r="U3" s="97"/>
      <c r="V3" s="99"/>
    </row>
    <row r="4" spans="1:22" x14ac:dyDescent="0.35">
      <c r="B4" s="96"/>
      <c r="C4" s="97"/>
      <c r="D4" s="97"/>
      <c r="E4" s="320" t="s">
        <v>17</v>
      </c>
      <c r="F4" s="320"/>
      <c r="G4" s="321"/>
      <c r="H4" s="321"/>
      <c r="I4" s="321"/>
      <c r="J4" s="321"/>
      <c r="K4" s="321"/>
      <c r="L4" s="321"/>
      <c r="M4" s="321"/>
      <c r="N4" s="321"/>
      <c r="O4" s="321"/>
      <c r="P4" s="321"/>
      <c r="Q4" s="321"/>
      <c r="R4" s="321"/>
      <c r="S4" s="321"/>
      <c r="T4" s="186"/>
      <c r="U4" s="97"/>
      <c r="V4" s="99"/>
    </row>
    <row r="5" spans="1:22" x14ac:dyDescent="0.35">
      <c r="B5" s="96"/>
      <c r="C5" s="97"/>
      <c r="D5" s="97"/>
      <c r="E5" s="320" t="s">
        <v>138</v>
      </c>
      <c r="F5" s="320"/>
      <c r="G5" s="321"/>
      <c r="H5" s="321"/>
      <c r="I5" s="321"/>
      <c r="J5" s="321"/>
      <c r="K5" s="321"/>
      <c r="L5" s="321"/>
      <c r="M5" s="321"/>
      <c r="N5" s="321"/>
      <c r="O5" s="321"/>
      <c r="P5" s="321"/>
      <c r="Q5" s="321"/>
      <c r="R5" s="321"/>
      <c r="S5" s="321"/>
      <c r="T5" s="186"/>
      <c r="U5" s="97"/>
      <c r="V5" s="99"/>
    </row>
    <row r="6" spans="1:22" x14ac:dyDescent="0.35">
      <c r="B6" s="96"/>
      <c r="C6" s="97"/>
      <c r="D6" s="97"/>
      <c r="E6" s="97"/>
      <c r="F6" s="97"/>
      <c r="G6" s="97"/>
      <c r="H6" s="97"/>
      <c r="I6" s="97"/>
      <c r="J6" s="97"/>
      <c r="K6" s="97"/>
      <c r="L6" s="97"/>
      <c r="M6" s="97"/>
      <c r="N6" s="97"/>
      <c r="O6" s="97"/>
      <c r="P6" s="97"/>
      <c r="Q6" s="97"/>
      <c r="R6" s="97"/>
      <c r="S6" s="97"/>
      <c r="T6" s="97"/>
      <c r="U6" s="97"/>
      <c r="V6" s="99"/>
    </row>
    <row r="7" spans="1:22" x14ac:dyDescent="0.35">
      <c r="B7" s="96"/>
      <c r="C7" s="97"/>
      <c r="D7" s="97"/>
      <c r="E7" s="97"/>
      <c r="F7" s="97"/>
      <c r="G7" s="97"/>
      <c r="H7" s="97"/>
      <c r="I7" s="97"/>
      <c r="J7" s="97"/>
      <c r="K7" s="97"/>
      <c r="L7" s="97"/>
      <c r="M7" s="97"/>
      <c r="N7" s="97"/>
      <c r="O7" s="97"/>
      <c r="P7" s="97"/>
      <c r="Q7" s="97"/>
      <c r="R7" s="97"/>
      <c r="S7" s="97"/>
      <c r="T7" s="97"/>
      <c r="U7" s="97"/>
      <c r="V7" s="99"/>
    </row>
    <row r="8" spans="1:22" ht="14.65" customHeight="1" x14ac:dyDescent="0.35">
      <c r="B8" s="96"/>
      <c r="C8" s="185" t="s">
        <v>164</v>
      </c>
      <c r="D8" s="100"/>
      <c r="E8" s="324" t="s">
        <v>164</v>
      </c>
      <c r="F8" s="325"/>
      <c r="G8" s="325"/>
      <c r="H8" s="325"/>
      <c r="I8" s="325"/>
      <c r="J8" s="325"/>
      <c r="K8" s="325"/>
      <c r="L8" s="325"/>
      <c r="M8" s="325"/>
      <c r="N8" s="325"/>
      <c r="O8" s="325"/>
      <c r="P8" s="325"/>
      <c r="Q8" s="325"/>
      <c r="R8" s="325"/>
      <c r="S8" s="325"/>
      <c r="T8" s="97"/>
      <c r="U8" s="97"/>
      <c r="V8" s="99"/>
    </row>
    <row r="9" spans="1:22" x14ac:dyDescent="0.35">
      <c r="B9" s="96"/>
      <c r="C9" s="97"/>
      <c r="D9" s="97"/>
      <c r="E9" s="97"/>
      <c r="F9" s="97"/>
      <c r="G9" s="97"/>
      <c r="H9" s="97"/>
      <c r="I9" s="97"/>
      <c r="J9" s="97"/>
      <c r="K9" s="97"/>
      <c r="L9" s="97"/>
      <c r="M9" s="97"/>
      <c r="N9" s="97"/>
      <c r="O9" s="97"/>
      <c r="P9" s="97"/>
      <c r="Q9" s="97"/>
      <c r="R9" s="97"/>
      <c r="S9" s="97"/>
      <c r="T9" s="97"/>
      <c r="U9" s="97"/>
      <c r="V9" s="99"/>
    </row>
    <row r="10" spans="1:22" x14ac:dyDescent="0.35">
      <c r="A10" s="101"/>
      <c r="B10" s="49"/>
      <c r="C10" s="61"/>
      <c r="D10" s="2"/>
      <c r="E10" s="102" t="s">
        <v>47</v>
      </c>
      <c r="F10" s="102" t="str">
        <f>E10</f>
        <v>Year 1</v>
      </c>
      <c r="G10" s="102" t="str">
        <f t="shared" ref="G10:S10" si="0">F10</f>
        <v>Year 1</v>
      </c>
      <c r="H10" s="102" t="str">
        <f t="shared" si="0"/>
        <v>Year 1</v>
      </c>
      <c r="I10" s="102" t="str">
        <f t="shared" si="0"/>
        <v>Year 1</v>
      </c>
      <c r="J10" s="102" t="str">
        <f t="shared" si="0"/>
        <v>Year 1</v>
      </c>
      <c r="K10" s="102" t="str">
        <f t="shared" si="0"/>
        <v>Year 1</v>
      </c>
      <c r="L10" s="102" t="str">
        <f t="shared" si="0"/>
        <v>Year 1</v>
      </c>
      <c r="M10" s="102" t="str">
        <f t="shared" si="0"/>
        <v>Year 1</v>
      </c>
      <c r="N10" s="102" t="str">
        <f t="shared" si="0"/>
        <v>Year 1</v>
      </c>
      <c r="O10" s="102" t="str">
        <f t="shared" si="0"/>
        <v>Year 1</v>
      </c>
      <c r="P10" s="102" t="str">
        <f t="shared" si="0"/>
        <v>Year 1</v>
      </c>
      <c r="Q10" s="102" t="str">
        <f t="shared" si="0"/>
        <v>Year 1</v>
      </c>
      <c r="R10" s="102" t="str">
        <f t="shared" si="0"/>
        <v>Year 1</v>
      </c>
      <c r="S10" s="102" t="str">
        <f t="shared" si="0"/>
        <v>Year 1</v>
      </c>
      <c r="T10" s="103"/>
      <c r="U10" s="97"/>
      <c r="V10" s="99"/>
    </row>
    <row r="11" spans="1:22" x14ac:dyDescent="0.35">
      <c r="A11" s="101"/>
      <c r="B11" s="49"/>
      <c r="C11" s="61"/>
      <c r="D11" s="2"/>
      <c r="E11" s="104" t="str">
        <f>IF('1) Proposed School Information'!E21="Select Year"," ",'1) Proposed School Information'!E21)</f>
        <v>2021-22</v>
      </c>
      <c r="F11" s="104" t="str">
        <f>E11</f>
        <v>2021-22</v>
      </c>
      <c r="G11" s="104" t="str">
        <f t="shared" ref="G11:S11" si="1">F11</f>
        <v>2021-22</v>
      </c>
      <c r="H11" s="104" t="str">
        <f t="shared" si="1"/>
        <v>2021-22</v>
      </c>
      <c r="I11" s="104" t="str">
        <f t="shared" si="1"/>
        <v>2021-22</v>
      </c>
      <c r="J11" s="104" t="str">
        <f t="shared" si="1"/>
        <v>2021-22</v>
      </c>
      <c r="K11" s="104" t="str">
        <f t="shared" si="1"/>
        <v>2021-22</v>
      </c>
      <c r="L11" s="104" t="str">
        <f t="shared" si="1"/>
        <v>2021-22</v>
      </c>
      <c r="M11" s="104" t="str">
        <f t="shared" si="1"/>
        <v>2021-22</v>
      </c>
      <c r="N11" s="104" t="str">
        <f t="shared" si="1"/>
        <v>2021-22</v>
      </c>
      <c r="O11" s="104" t="str">
        <f t="shared" si="1"/>
        <v>2021-22</v>
      </c>
      <c r="P11" s="104" t="str">
        <f t="shared" si="1"/>
        <v>2021-22</v>
      </c>
      <c r="Q11" s="104" t="str">
        <f t="shared" si="1"/>
        <v>2021-22</v>
      </c>
      <c r="R11" s="104" t="str">
        <f t="shared" si="1"/>
        <v>2021-22</v>
      </c>
      <c r="S11" s="104" t="str">
        <f t="shared" si="1"/>
        <v>2021-22</v>
      </c>
      <c r="T11" s="103"/>
      <c r="U11" s="97"/>
      <c r="V11" s="99"/>
    </row>
    <row r="12" spans="1:22" s="108" customFormat="1" x14ac:dyDescent="0.35">
      <c r="A12" s="105"/>
      <c r="B12" s="47"/>
      <c r="C12" s="84"/>
      <c r="D12" s="3"/>
      <c r="E12" s="106" t="s">
        <v>151</v>
      </c>
      <c r="F12" s="106" t="s">
        <v>139</v>
      </c>
      <c r="G12" s="106" t="s">
        <v>140</v>
      </c>
      <c r="H12" s="106" t="s">
        <v>141</v>
      </c>
      <c r="I12" s="106" t="s">
        <v>142</v>
      </c>
      <c r="J12" s="106" t="s">
        <v>143</v>
      </c>
      <c r="K12" s="106" t="s">
        <v>144</v>
      </c>
      <c r="L12" s="106" t="s">
        <v>145</v>
      </c>
      <c r="M12" s="106" t="s">
        <v>146</v>
      </c>
      <c r="N12" s="106" t="s">
        <v>147</v>
      </c>
      <c r="O12" s="106" t="s">
        <v>148</v>
      </c>
      <c r="P12" s="106" t="s">
        <v>149</v>
      </c>
      <c r="Q12" s="106" t="s">
        <v>150</v>
      </c>
      <c r="R12" s="106" t="s">
        <v>152</v>
      </c>
      <c r="S12" s="106" t="s">
        <v>153</v>
      </c>
      <c r="T12" s="107"/>
      <c r="V12" s="109"/>
    </row>
    <row r="13" spans="1:22" x14ac:dyDescent="0.35">
      <c r="A13" s="101"/>
      <c r="B13" s="49"/>
      <c r="C13" s="61"/>
      <c r="D13" s="2"/>
      <c r="E13" s="107"/>
      <c r="F13" s="107"/>
      <c r="G13" s="107"/>
      <c r="H13" s="107"/>
      <c r="I13" s="107"/>
      <c r="J13" s="107"/>
      <c r="K13" s="107"/>
      <c r="L13" s="107"/>
      <c r="M13" s="107"/>
      <c r="N13" s="107"/>
      <c r="O13" s="107"/>
      <c r="P13" s="107"/>
      <c r="Q13" s="107"/>
      <c r="R13" s="107"/>
      <c r="S13" s="107"/>
      <c r="T13" s="107"/>
      <c r="U13" s="97"/>
      <c r="V13" s="99"/>
    </row>
    <row r="14" spans="1:22" x14ac:dyDescent="0.35">
      <c r="A14" s="101"/>
      <c r="B14" s="42" t="s">
        <v>160</v>
      </c>
      <c r="C14" s="58"/>
      <c r="D14" s="4"/>
      <c r="E14" s="81">
        <f>'4) Pre-Opening Cash Flow'!Q43</f>
        <v>78154.475000000006</v>
      </c>
      <c r="F14" s="81">
        <f>E14</f>
        <v>78154.475000000006</v>
      </c>
      <c r="G14" s="81">
        <f>F43</f>
        <v>31859.555303030327</v>
      </c>
      <c r="H14" s="81">
        <f t="shared" ref="H14:Q14" si="2">G43</f>
        <v>48440.635606060649</v>
      </c>
      <c r="I14" s="81">
        <f t="shared" si="2"/>
        <v>73121.71590909097</v>
      </c>
      <c r="J14" s="81">
        <f t="shared" si="2"/>
        <v>94702.796212121291</v>
      </c>
      <c r="K14" s="81">
        <f t="shared" si="2"/>
        <v>111283.87651515161</v>
      </c>
      <c r="L14" s="81">
        <f t="shared" si="2"/>
        <v>135964.95681818193</v>
      </c>
      <c r="M14" s="81">
        <f t="shared" si="2"/>
        <v>141046.03712121226</v>
      </c>
      <c r="N14" s="81">
        <f t="shared" si="2"/>
        <v>160127.11742424258</v>
      </c>
      <c r="O14" s="81">
        <f t="shared" si="2"/>
        <v>182308.1977272729</v>
      </c>
      <c r="P14" s="81">
        <f t="shared" si="2"/>
        <v>196389.27803030322</v>
      </c>
      <c r="Q14" s="81">
        <f t="shared" si="2"/>
        <v>102914.35833333354</v>
      </c>
      <c r="R14" s="63"/>
      <c r="S14" s="63"/>
      <c r="T14" s="107"/>
      <c r="U14" s="97"/>
      <c r="V14" s="99"/>
    </row>
    <row r="15" spans="1:22" x14ac:dyDescent="0.35">
      <c r="A15" s="101"/>
      <c r="B15" s="49"/>
      <c r="C15" s="61"/>
      <c r="D15" s="2"/>
      <c r="E15" s="107"/>
      <c r="F15" s="107"/>
      <c r="G15" s="107"/>
      <c r="H15" s="107"/>
      <c r="I15" s="107"/>
      <c r="J15" s="107"/>
      <c r="K15" s="107"/>
      <c r="L15" s="107"/>
      <c r="M15" s="107"/>
      <c r="N15" s="107"/>
      <c r="O15" s="107"/>
      <c r="P15" s="107"/>
      <c r="Q15" s="107"/>
      <c r="R15" s="107"/>
      <c r="S15" s="107"/>
      <c r="T15" s="107"/>
      <c r="U15" s="97"/>
      <c r="V15" s="99"/>
    </row>
    <row r="16" spans="1:22" x14ac:dyDescent="0.35">
      <c r="A16" s="101"/>
      <c r="B16" s="42" t="s">
        <v>154</v>
      </c>
      <c r="C16" s="61"/>
      <c r="D16" s="2"/>
      <c r="E16" s="110"/>
      <c r="F16" s="107"/>
      <c r="G16" s="107"/>
      <c r="H16" s="107"/>
      <c r="I16" s="107"/>
      <c r="J16" s="107"/>
      <c r="K16" s="107"/>
      <c r="L16" s="107"/>
      <c r="M16" s="107"/>
      <c r="N16" s="107"/>
      <c r="O16" s="107"/>
      <c r="P16" s="107"/>
      <c r="Q16" s="107"/>
      <c r="R16" s="107"/>
      <c r="S16" s="107"/>
      <c r="T16" s="107"/>
      <c r="U16" s="97"/>
      <c r="V16" s="99"/>
    </row>
    <row r="17" spans="1:22" x14ac:dyDescent="0.35">
      <c r="A17" s="101"/>
      <c r="B17" s="49" t="s">
        <v>102</v>
      </c>
      <c r="C17" s="61"/>
      <c r="D17" s="2"/>
      <c r="E17" s="110">
        <f>SUM(E56:E60)</f>
        <v>1075560</v>
      </c>
      <c r="F17" s="110">
        <f t="shared" ref="F17:S17" si="3">SUM(F56:F60)</f>
        <v>0</v>
      </c>
      <c r="G17" s="110">
        <f t="shared" si="3"/>
        <v>107556</v>
      </c>
      <c r="H17" s="110">
        <f t="shared" si="3"/>
        <v>107556</v>
      </c>
      <c r="I17" s="110">
        <f t="shared" si="3"/>
        <v>107556</v>
      </c>
      <c r="J17" s="110">
        <f t="shared" si="3"/>
        <v>107556</v>
      </c>
      <c r="K17" s="110">
        <f t="shared" si="3"/>
        <v>107556</v>
      </c>
      <c r="L17" s="110">
        <f t="shared" si="3"/>
        <v>107556</v>
      </c>
      <c r="M17" s="110">
        <f t="shared" si="3"/>
        <v>107556</v>
      </c>
      <c r="N17" s="110">
        <f t="shared" si="3"/>
        <v>107556</v>
      </c>
      <c r="O17" s="110">
        <f t="shared" si="3"/>
        <v>107556</v>
      </c>
      <c r="P17" s="110">
        <f t="shared" si="3"/>
        <v>0</v>
      </c>
      <c r="Q17" s="110">
        <f t="shared" si="3"/>
        <v>107556</v>
      </c>
      <c r="R17" s="110">
        <f t="shared" si="3"/>
        <v>1075560</v>
      </c>
      <c r="S17" s="110">
        <f t="shared" si="3"/>
        <v>0</v>
      </c>
      <c r="T17" s="107"/>
      <c r="U17" s="97"/>
      <c r="V17" s="99"/>
    </row>
    <row r="18" spans="1:22" x14ac:dyDescent="0.35">
      <c r="A18" s="101"/>
      <c r="B18" s="49" t="s">
        <v>103</v>
      </c>
      <c r="C18" s="61"/>
      <c r="D18" s="2"/>
      <c r="E18" s="110">
        <f>SUM(E62:E70)</f>
        <v>250400</v>
      </c>
      <c r="F18" s="110">
        <f t="shared" ref="F18:S18" si="4">SUM(F62:F70)</f>
        <v>201500</v>
      </c>
      <c r="G18" s="110">
        <f t="shared" si="4"/>
        <v>1500</v>
      </c>
      <c r="H18" s="110">
        <f t="shared" si="4"/>
        <v>9600</v>
      </c>
      <c r="I18" s="110">
        <f t="shared" si="4"/>
        <v>1500</v>
      </c>
      <c r="J18" s="110">
        <f t="shared" si="4"/>
        <v>1500</v>
      </c>
      <c r="K18" s="110">
        <f t="shared" si="4"/>
        <v>9600</v>
      </c>
      <c r="L18" s="110">
        <f t="shared" si="4"/>
        <v>1500</v>
      </c>
      <c r="M18" s="110">
        <f t="shared" si="4"/>
        <v>1500</v>
      </c>
      <c r="N18" s="110">
        <f t="shared" si="4"/>
        <v>9600</v>
      </c>
      <c r="O18" s="110">
        <f t="shared" si="4"/>
        <v>1500</v>
      </c>
      <c r="P18" s="110">
        <f t="shared" si="4"/>
        <v>1500</v>
      </c>
      <c r="Q18" s="110">
        <f t="shared" si="4"/>
        <v>9600</v>
      </c>
      <c r="R18" s="110">
        <f t="shared" si="4"/>
        <v>250400</v>
      </c>
      <c r="S18" s="110">
        <f t="shared" si="4"/>
        <v>0</v>
      </c>
      <c r="T18" s="107"/>
      <c r="U18" s="97"/>
      <c r="V18" s="99"/>
    </row>
    <row r="19" spans="1:22" x14ac:dyDescent="0.35">
      <c r="A19" s="101"/>
      <c r="B19" s="49" t="s">
        <v>111</v>
      </c>
      <c r="C19" s="61"/>
      <c r="D19" s="2"/>
      <c r="E19" s="110">
        <f>SUM(E73:E77)</f>
        <v>0</v>
      </c>
      <c r="F19" s="110">
        <f t="shared" ref="F19:S19" si="5">SUM(F73:F77)</f>
        <v>0</v>
      </c>
      <c r="G19" s="110">
        <f t="shared" si="5"/>
        <v>0</v>
      </c>
      <c r="H19" s="110">
        <f t="shared" si="5"/>
        <v>0</v>
      </c>
      <c r="I19" s="110">
        <f t="shared" si="5"/>
        <v>0</v>
      </c>
      <c r="J19" s="110">
        <f t="shared" si="5"/>
        <v>0</v>
      </c>
      <c r="K19" s="110">
        <f t="shared" si="5"/>
        <v>0</v>
      </c>
      <c r="L19" s="110">
        <f t="shared" si="5"/>
        <v>0</v>
      </c>
      <c r="M19" s="110">
        <f t="shared" si="5"/>
        <v>0</v>
      </c>
      <c r="N19" s="110">
        <f t="shared" si="5"/>
        <v>0</v>
      </c>
      <c r="O19" s="110">
        <f t="shared" si="5"/>
        <v>0</v>
      </c>
      <c r="P19" s="110">
        <f t="shared" si="5"/>
        <v>0</v>
      </c>
      <c r="Q19" s="110">
        <f t="shared" si="5"/>
        <v>0</v>
      </c>
      <c r="R19" s="110">
        <f t="shared" si="5"/>
        <v>0</v>
      </c>
      <c r="S19" s="110">
        <f t="shared" si="5"/>
        <v>0</v>
      </c>
      <c r="T19" s="107"/>
      <c r="U19" s="97"/>
      <c r="V19" s="99"/>
    </row>
    <row r="20" spans="1:22" x14ac:dyDescent="0.35">
      <c r="A20" s="101"/>
      <c r="B20" s="49" t="s">
        <v>114</v>
      </c>
      <c r="C20" s="61"/>
      <c r="D20" s="2"/>
      <c r="E20" s="110">
        <f>SUM(E80:E84)</f>
        <v>20000</v>
      </c>
      <c r="F20" s="110">
        <f t="shared" ref="F20:S20" si="6">SUM(F80:F84)</f>
        <v>5000</v>
      </c>
      <c r="G20" s="110">
        <f t="shared" si="6"/>
        <v>0</v>
      </c>
      <c r="H20" s="110">
        <f t="shared" si="6"/>
        <v>0</v>
      </c>
      <c r="I20" s="110">
        <f t="shared" si="6"/>
        <v>5000</v>
      </c>
      <c r="J20" s="110">
        <f t="shared" si="6"/>
        <v>0</v>
      </c>
      <c r="K20" s="110">
        <f t="shared" si="6"/>
        <v>0</v>
      </c>
      <c r="L20" s="110">
        <f t="shared" si="6"/>
        <v>0</v>
      </c>
      <c r="M20" s="110">
        <f t="shared" si="6"/>
        <v>5000</v>
      </c>
      <c r="N20" s="110">
        <f t="shared" si="6"/>
        <v>0</v>
      </c>
      <c r="O20" s="110">
        <f t="shared" si="6"/>
        <v>0</v>
      </c>
      <c r="P20" s="110">
        <f t="shared" si="6"/>
        <v>0</v>
      </c>
      <c r="Q20" s="110">
        <f t="shared" si="6"/>
        <v>5000</v>
      </c>
      <c r="R20" s="110">
        <f t="shared" si="6"/>
        <v>20000</v>
      </c>
      <c r="S20" s="110">
        <f t="shared" si="6"/>
        <v>0</v>
      </c>
      <c r="T20" s="107"/>
      <c r="U20" s="97"/>
      <c r="V20" s="99"/>
    </row>
    <row r="21" spans="1:22" x14ac:dyDescent="0.35">
      <c r="A21" s="101"/>
      <c r="B21" s="49"/>
      <c r="C21" s="61"/>
      <c r="D21" s="2"/>
      <c r="E21" s="107"/>
      <c r="F21" s="107"/>
      <c r="G21" s="107"/>
      <c r="H21" s="107"/>
      <c r="I21" s="107"/>
      <c r="J21" s="107"/>
      <c r="K21" s="107"/>
      <c r="L21" s="107"/>
      <c r="M21" s="107"/>
      <c r="N21" s="107"/>
      <c r="O21" s="107"/>
      <c r="P21" s="107"/>
      <c r="Q21" s="107"/>
      <c r="R21" s="107"/>
      <c r="S21" s="107"/>
      <c r="T21" s="107"/>
      <c r="U21" s="97"/>
      <c r="V21" s="99"/>
    </row>
    <row r="22" spans="1:22" ht="15" thickBot="1" x14ac:dyDescent="0.4">
      <c r="A22" s="101"/>
      <c r="B22" s="42" t="s">
        <v>113</v>
      </c>
      <c r="C22" s="61"/>
      <c r="D22" s="2"/>
      <c r="E22" s="111">
        <f>SUM(E17:E20)</f>
        <v>1345960</v>
      </c>
      <c r="F22" s="111">
        <f t="shared" ref="F22:S22" si="7">SUM(F17:F20)</f>
        <v>206500</v>
      </c>
      <c r="G22" s="111">
        <f t="shared" si="7"/>
        <v>109056</v>
      </c>
      <c r="H22" s="111">
        <f t="shared" si="7"/>
        <v>117156</v>
      </c>
      <c r="I22" s="111">
        <f t="shared" si="7"/>
        <v>114056</v>
      </c>
      <c r="J22" s="111">
        <f t="shared" si="7"/>
        <v>109056</v>
      </c>
      <c r="K22" s="111">
        <f t="shared" si="7"/>
        <v>117156</v>
      </c>
      <c r="L22" s="111">
        <f t="shared" si="7"/>
        <v>109056</v>
      </c>
      <c r="M22" s="111">
        <f t="shared" si="7"/>
        <v>114056</v>
      </c>
      <c r="N22" s="111">
        <f t="shared" si="7"/>
        <v>117156</v>
      </c>
      <c r="O22" s="111">
        <f t="shared" si="7"/>
        <v>109056</v>
      </c>
      <c r="P22" s="111">
        <f t="shared" si="7"/>
        <v>1500</v>
      </c>
      <c r="Q22" s="111">
        <f t="shared" si="7"/>
        <v>122156</v>
      </c>
      <c r="R22" s="111">
        <f t="shared" si="7"/>
        <v>1345960</v>
      </c>
      <c r="S22" s="111">
        <f t="shared" si="7"/>
        <v>0</v>
      </c>
      <c r="T22" s="107"/>
      <c r="U22" s="97"/>
      <c r="V22" s="99"/>
    </row>
    <row r="23" spans="1:22" ht="15" thickTop="1" x14ac:dyDescent="0.35">
      <c r="A23" s="101"/>
      <c r="B23" s="49"/>
      <c r="C23" s="61"/>
      <c r="D23" s="2"/>
      <c r="E23" s="107"/>
      <c r="F23" s="107"/>
      <c r="G23" s="107"/>
      <c r="H23" s="107"/>
      <c r="I23" s="107"/>
      <c r="J23" s="107"/>
      <c r="K23" s="107"/>
      <c r="L23" s="107"/>
      <c r="M23" s="107"/>
      <c r="N23" s="107"/>
      <c r="O23" s="107"/>
      <c r="P23" s="107"/>
      <c r="Q23" s="107"/>
      <c r="R23" s="107"/>
      <c r="S23" s="107"/>
      <c r="T23" s="107"/>
      <c r="U23" s="97"/>
      <c r="V23" s="99"/>
    </row>
    <row r="24" spans="1:22" x14ac:dyDescent="0.35">
      <c r="A24" s="101"/>
      <c r="B24" s="42" t="s">
        <v>156</v>
      </c>
      <c r="C24" s="61"/>
      <c r="D24" s="2"/>
      <c r="E24" s="107"/>
      <c r="F24" s="107"/>
      <c r="G24" s="107"/>
      <c r="H24" s="107"/>
      <c r="I24" s="107"/>
      <c r="J24" s="107"/>
      <c r="K24" s="107"/>
      <c r="L24" s="107"/>
      <c r="M24" s="107"/>
      <c r="N24" s="107"/>
      <c r="O24" s="107"/>
      <c r="P24" s="107"/>
      <c r="Q24" s="107"/>
      <c r="R24" s="107"/>
      <c r="S24" s="107"/>
      <c r="T24" s="107"/>
      <c r="U24" s="97"/>
      <c r="V24" s="99"/>
    </row>
    <row r="25" spans="1:22" x14ac:dyDescent="0.35">
      <c r="A25" s="101"/>
      <c r="B25" s="49" t="s">
        <v>157</v>
      </c>
      <c r="C25" s="61"/>
      <c r="D25" s="2"/>
      <c r="E25" s="110">
        <f>E123</f>
        <v>594000</v>
      </c>
      <c r="F25" s="110">
        <f t="shared" ref="F25:S25" si="8">F123</f>
        <v>49499.999999999993</v>
      </c>
      <c r="G25" s="110">
        <f t="shared" si="8"/>
        <v>49499.999999999993</v>
      </c>
      <c r="H25" s="110">
        <f t="shared" si="8"/>
        <v>49499.999999999993</v>
      </c>
      <c r="I25" s="110">
        <f t="shared" si="8"/>
        <v>49499.999999999993</v>
      </c>
      <c r="J25" s="110">
        <f t="shared" si="8"/>
        <v>49499.999999999993</v>
      </c>
      <c r="K25" s="110">
        <f t="shared" si="8"/>
        <v>49499.999999999993</v>
      </c>
      <c r="L25" s="110">
        <f t="shared" si="8"/>
        <v>49499.999999999993</v>
      </c>
      <c r="M25" s="110">
        <f t="shared" si="8"/>
        <v>49499.999999999993</v>
      </c>
      <c r="N25" s="110">
        <f t="shared" si="8"/>
        <v>49499.999999999993</v>
      </c>
      <c r="O25" s="110">
        <f t="shared" si="8"/>
        <v>49499.999999999993</v>
      </c>
      <c r="P25" s="110">
        <f t="shared" si="8"/>
        <v>49499.999999999993</v>
      </c>
      <c r="Q25" s="110">
        <f t="shared" si="8"/>
        <v>49499.999999999993</v>
      </c>
      <c r="R25" s="110">
        <f t="shared" si="8"/>
        <v>594000</v>
      </c>
      <c r="S25" s="110">
        <f t="shared" si="8"/>
        <v>0</v>
      </c>
      <c r="T25" s="107"/>
      <c r="U25" s="97"/>
      <c r="V25" s="99"/>
    </row>
    <row r="26" spans="1:22" x14ac:dyDescent="0.35">
      <c r="A26" s="101"/>
      <c r="B26" s="49" t="s">
        <v>158</v>
      </c>
      <c r="C26" s="61"/>
      <c r="D26" s="2"/>
      <c r="E26" s="110">
        <f>E148</f>
        <v>178883.4</v>
      </c>
      <c r="F26" s="110">
        <f t="shared" ref="F26:S26" si="9">F148</f>
        <v>14906.95</v>
      </c>
      <c r="G26" s="110">
        <f t="shared" si="9"/>
        <v>14906.95</v>
      </c>
      <c r="H26" s="110">
        <f t="shared" si="9"/>
        <v>14906.95</v>
      </c>
      <c r="I26" s="110">
        <f t="shared" si="9"/>
        <v>14906.95</v>
      </c>
      <c r="J26" s="110">
        <f t="shared" si="9"/>
        <v>14906.95</v>
      </c>
      <c r="K26" s="110">
        <f t="shared" si="9"/>
        <v>14906.95</v>
      </c>
      <c r="L26" s="110">
        <f t="shared" si="9"/>
        <v>14906.95</v>
      </c>
      <c r="M26" s="110">
        <f t="shared" si="9"/>
        <v>14906.95</v>
      </c>
      <c r="N26" s="110">
        <f t="shared" si="9"/>
        <v>14906.95</v>
      </c>
      <c r="O26" s="110">
        <f t="shared" si="9"/>
        <v>14906.95</v>
      </c>
      <c r="P26" s="110">
        <f t="shared" si="9"/>
        <v>14906.95</v>
      </c>
      <c r="Q26" s="110">
        <f t="shared" si="9"/>
        <v>14906.95</v>
      </c>
      <c r="R26" s="110">
        <f t="shared" si="9"/>
        <v>178883.4</v>
      </c>
      <c r="S26" s="110">
        <f t="shared" si="9"/>
        <v>0</v>
      </c>
      <c r="T26" s="107"/>
      <c r="U26" s="97"/>
      <c r="V26" s="99"/>
    </row>
    <row r="27" spans="1:22" x14ac:dyDescent="0.35">
      <c r="A27" s="101"/>
      <c r="B27" s="49" t="s">
        <v>123</v>
      </c>
      <c r="C27" s="61"/>
      <c r="D27" s="2"/>
      <c r="E27" s="110">
        <f>SUM(E159:E173)</f>
        <v>223980</v>
      </c>
      <c r="F27" s="110">
        <f t="shared" ref="F27:S27" si="10">SUM(F159:F173)</f>
        <v>56140</v>
      </c>
      <c r="G27" s="110">
        <f t="shared" si="10"/>
        <v>14920</v>
      </c>
      <c r="H27" s="110">
        <f t="shared" si="10"/>
        <v>14920</v>
      </c>
      <c r="I27" s="110">
        <f t="shared" si="10"/>
        <v>14920</v>
      </c>
      <c r="J27" s="110">
        <f t="shared" si="10"/>
        <v>14920</v>
      </c>
      <c r="K27" s="110">
        <f t="shared" si="10"/>
        <v>14920</v>
      </c>
      <c r="L27" s="110">
        <f t="shared" si="10"/>
        <v>14920</v>
      </c>
      <c r="M27" s="110">
        <f t="shared" si="10"/>
        <v>14920</v>
      </c>
      <c r="N27" s="110">
        <f t="shared" si="10"/>
        <v>14920</v>
      </c>
      <c r="O27" s="110">
        <f t="shared" si="10"/>
        <v>14920</v>
      </c>
      <c r="P27" s="110">
        <f t="shared" si="10"/>
        <v>14920</v>
      </c>
      <c r="Q27" s="110">
        <f t="shared" si="10"/>
        <v>18640</v>
      </c>
      <c r="R27" s="110">
        <f t="shared" si="10"/>
        <v>223980</v>
      </c>
      <c r="S27" s="110">
        <f t="shared" si="10"/>
        <v>0</v>
      </c>
      <c r="T27" s="107"/>
      <c r="U27" s="97"/>
      <c r="V27" s="99"/>
    </row>
    <row r="28" spans="1:22" x14ac:dyDescent="0.35">
      <c r="A28" s="101"/>
      <c r="B28" s="49" t="s">
        <v>124</v>
      </c>
      <c r="C28" s="61"/>
      <c r="D28" s="2"/>
      <c r="E28" s="110">
        <f>SUM(E176:E190)</f>
        <v>85325</v>
      </c>
      <c r="F28" s="110">
        <f t="shared" ref="F28:S28" si="11">SUM(F176:F190)</f>
        <v>66602.083333333343</v>
      </c>
      <c r="G28" s="110">
        <f t="shared" si="11"/>
        <v>1702.0833333333333</v>
      </c>
      <c r="H28" s="110">
        <f t="shared" si="11"/>
        <v>1702.0833333333333</v>
      </c>
      <c r="I28" s="110">
        <f t="shared" si="11"/>
        <v>1702.0833333333333</v>
      </c>
      <c r="J28" s="110">
        <f t="shared" si="11"/>
        <v>1702.0833333333333</v>
      </c>
      <c r="K28" s="110">
        <f t="shared" si="11"/>
        <v>1702.0833333333333</v>
      </c>
      <c r="L28" s="110">
        <f t="shared" si="11"/>
        <v>1702.0833333333333</v>
      </c>
      <c r="M28" s="110">
        <f t="shared" si="11"/>
        <v>1702.0833333333333</v>
      </c>
      <c r="N28" s="110">
        <f t="shared" si="11"/>
        <v>1702.0833333333333</v>
      </c>
      <c r="O28" s="110">
        <f t="shared" si="11"/>
        <v>1702.0833333333333</v>
      </c>
      <c r="P28" s="110">
        <f t="shared" si="11"/>
        <v>1702.0833333333333</v>
      </c>
      <c r="Q28" s="110">
        <f t="shared" si="11"/>
        <v>1702.0833333333333</v>
      </c>
      <c r="R28" s="110">
        <f t="shared" si="11"/>
        <v>85325</v>
      </c>
      <c r="S28" s="110">
        <f t="shared" si="11"/>
        <v>0</v>
      </c>
      <c r="T28" s="107"/>
      <c r="U28" s="97"/>
      <c r="V28" s="99"/>
    </row>
    <row r="29" spans="1:22" x14ac:dyDescent="0.35">
      <c r="A29" s="101"/>
      <c r="B29" s="49" t="s">
        <v>159</v>
      </c>
      <c r="C29" s="61"/>
      <c r="D29" s="2"/>
      <c r="E29" s="110">
        <f>SUM(E193:E207)</f>
        <v>156000</v>
      </c>
      <c r="F29" s="110">
        <f t="shared" ref="F29:S29" si="12">SUM(F193:F207)</f>
        <v>62683.333333333328</v>
      </c>
      <c r="G29" s="110">
        <f t="shared" si="12"/>
        <v>8483.3333333333339</v>
      </c>
      <c r="H29" s="110">
        <f t="shared" si="12"/>
        <v>8483.3333333333339</v>
      </c>
      <c r="I29" s="110">
        <f t="shared" si="12"/>
        <v>8483.3333333333339</v>
      </c>
      <c r="J29" s="110">
        <f t="shared" si="12"/>
        <v>8483.3333333333339</v>
      </c>
      <c r="K29" s="110">
        <f t="shared" si="12"/>
        <v>8483.3333333333339</v>
      </c>
      <c r="L29" s="110">
        <f t="shared" si="12"/>
        <v>8483.3333333333339</v>
      </c>
      <c r="M29" s="110">
        <f t="shared" si="12"/>
        <v>8483.3333333333339</v>
      </c>
      <c r="N29" s="110">
        <f t="shared" si="12"/>
        <v>8483.3333333333339</v>
      </c>
      <c r="O29" s="110">
        <f t="shared" si="12"/>
        <v>8483.3333333333339</v>
      </c>
      <c r="P29" s="110">
        <f t="shared" si="12"/>
        <v>8483.3333333333339</v>
      </c>
      <c r="Q29" s="110">
        <f t="shared" si="12"/>
        <v>8483.3333333333339</v>
      </c>
      <c r="R29" s="110">
        <f t="shared" si="12"/>
        <v>156000</v>
      </c>
      <c r="S29" s="110">
        <f t="shared" si="12"/>
        <v>0</v>
      </c>
      <c r="T29" s="107"/>
      <c r="U29" s="97"/>
      <c r="V29" s="99"/>
    </row>
    <row r="30" spans="1:22" x14ac:dyDescent="0.35">
      <c r="A30" s="101"/>
      <c r="B30" s="49" t="s">
        <v>125</v>
      </c>
      <c r="C30" s="61"/>
      <c r="D30" s="2"/>
      <c r="E30" s="110">
        <f>SUM(E210:E214)</f>
        <v>59187</v>
      </c>
      <c r="F30" s="110">
        <f t="shared" ref="F30:S30" si="13">SUM(F210:F214)</f>
        <v>2962.55303030303</v>
      </c>
      <c r="G30" s="110">
        <f t="shared" si="13"/>
        <v>2962.55303030303</v>
      </c>
      <c r="H30" s="110">
        <f t="shared" si="13"/>
        <v>2962.55303030303</v>
      </c>
      <c r="I30" s="110">
        <f t="shared" si="13"/>
        <v>2962.55303030303</v>
      </c>
      <c r="J30" s="110">
        <f t="shared" si="13"/>
        <v>2962.55303030303</v>
      </c>
      <c r="K30" s="110">
        <f t="shared" si="13"/>
        <v>2962.55303030303</v>
      </c>
      <c r="L30" s="110">
        <f t="shared" si="13"/>
        <v>14462.55303030303</v>
      </c>
      <c r="M30" s="110">
        <f t="shared" si="13"/>
        <v>5462.55303030303</v>
      </c>
      <c r="N30" s="110">
        <f t="shared" si="13"/>
        <v>5462.55303030303</v>
      </c>
      <c r="O30" s="110">
        <f t="shared" si="13"/>
        <v>5462.55303030303</v>
      </c>
      <c r="P30" s="110">
        <f t="shared" si="13"/>
        <v>5462.55303030303</v>
      </c>
      <c r="Q30" s="110">
        <f t="shared" si="13"/>
        <v>5098.9166666666661</v>
      </c>
      <c r="R30" s="110">
        <f t="shared" si="13"/>
        <v>59187</v>
      </c>
      <c r="S30" s="110">
        <f t="shared" si="13"/>
        <v>0</v>
      </c>
      <c r="T30" s="107"/>
      <c r="U30" s="97"/>
      <c r="V30" s="99"/>
    </row>
    <row r="31" spans="1:22" x14ac:dyDescent="0.35">
      <c r="A31" s="101"/>
      <c r="B31" s="49" t="s">
        <v>126</v>
      </c>
      <c r="C31" s="61"/>
      <c r="D31" s="2"/>
      <c r="E31" s="110">
        <f>SUM(E217:E221)</f>
        <v>0</v>
      </c>
      <c r="F31" s="110">
        <f t="shared" ref="F31:S31" si="14">SUM(F217:F221)</f>
        <v>0</v>
      </c>
      <c r="G31" s="110">
        <f t="shared" si="14"/>
        <v>0</v>
      </c>
      <c r="H31" s="110">
        <f t="shared" si="14"/>
        <v>0</v>
      </c>
      <c r="I31" s="110">
        <f t="shared" si="14"/>
        <v>0</v>
      </c>
      <c r="J31" s="110">
        <f t="shared" si="14"/>
        <v>0</v>
      </c>
      <c r="K31" s="110">
        <f t="shared" si="14"/>
        <v>0</v>
      </c>
      <c r="L31" s="110">
        <f t="shared" si="14"/>
        <v>0</v>
      </c>
      <c r="M31" s="110">
        <f t="shared" si="14"/>
        <v>0</v>
      </c>
      <c r="N31" s="110">
        <f t="shared" si="14"/>
        <v>0</v>
      </c>
      <c r="O31" s="110">
        <f t="shared" si="14"/>
        <v>0</v>
      </c>
      <c r="P31" s="110">
        <f t="shared" si="14"/>
        <v>0</v>
      </c>
      <c r="Q31" s="110">
        <f t="shared" si="14"/>
        <v>0</v>
      </c>
      <c r="R31" s="110">
        <f t="shared" si="14"/>
        <v>0</v>
      </c>
      <c r="S31" s="110">
        <f t="shared" si="14"/>
        <v>0</v>
      </c>
      <c r="T31" s="107"/>
      <c r="U31" s="97"/>
      <c r="V31" s="99"/>
    </row>
    <row r="32" spans="1:22" x14ac:dyDescent="0.35">
      <c r="A32" s="101"/>
      <c r="B32" s="49"/>
      <c r="C32" s="61"/>
      <c r="D32" s="2"/>
      <c r="E32" s="107"/>
      <c r="F32" s="107"/>
      <c r="G32" s="107"/>
      <c r="H32" s="107"/>
      <c r="I32" s="107"/>
      <c r="J32" s="107"/>
      <c r="K32" s="107"/>
      <c r="L32" s="107"/>
      <c r="M32" s="107"/>
      <c r="N32" s="107"/>
      <c r="O32" s="107"/>
      <c r="P32" s="107"/>
      <c r="Q32" s="107"/>
      <c r="R32" s="107"/>
      <c r="S32" s="107"/>
      <c r="T32" s="107"/>
      <c r="U32" s="97"/>
      <c r="V32" s="99"/>
    </row>
    <row r="33" spans="1:22" ht="15" thickBot="1" x14ac:dyDescent="0.4">
      <c r="A33" s="101"/>
      <c r="B33" s="42" t="s">
        <v>132</v>
      </c>
      <c r="C33" s="61"/>
      <c r="D33" s="2"/>
      <c r="E33" s="111">
        <f>SUM(E25:E31)</f>
        <v>1297375.3999999999</v>
      </c>
      <c r="F33" s="111">
        <f t="shared" ref="F33:R33" si="15">SUM(F25:F31)</f>
        <v>252794.91969696968</v>
      </c>
      <c r="G33" s="111">
        <f t="shared" si="15"/>
        <v>92474.919696969679</v>
      </c>
      <c r="H33" s="111">
        <f t="shared" si="15"/>
        <v>92474.919696969679</v>
      </c>
      <c r="I33" s="111">
        <f t="shared" si="15"/>
        <v>92474.919696969679</v>
      </c>
      <c r="J33" s="111">
        <f t="shared" si="15"/>
        <v>92474.919696969679</v>
      </c>
      <c r="K33" s="111">
        <f t="shared" si="15"/>
        <v>92474.919696969679</v>
      </c>
      <c r="L33" s="111">
        <f t="shared" si="15"/>
        <v>103974.91969696968</v>
      </c>
      <c r="M33" s="111">
        <f t="shared" si="15"/>
        <v>94974.919696969679</v>
      </c>
      <c r="N33" s="111">
        <f t="shared" si="15"/>
        <v>94974.919696969679</v>
      </c>
      <c r="O33" s="111">
        <f t="shared" si="15"/>
        <v>94974.919696969679</v>
      </c>
      <c r="P33" s="111">
        <f t="shared" si="15"/>
        <v>94974.919696969679</v>
      </c>
      <c r="Q33" s="111">
        <f t="shared" si="15"/>
        <v>98331.283333333326</v>
      </c>
      <c r="R33" s="111">
        <f t="shared" si="15"/>
        <v>1297375.3999999999</v>
      </c>
      <c r="S33" s="111">
        <f>SUM(S25:S31)</f>
        <v>0</v>
      </c>
      <c r="T33" s="107"/>
      <c r="U33" s="97"/>
      <c r="V33" s="99"/>
    </row>
    <row r="34" spans="1:22" ht="15" thickTop="1" x14ac:dyDescent="0.35">
      <c r="A34" s="101"/>
      <c r="B34" s="49"/>
      <c r="C34" s="61"/>
      <c r="D34" s="2"/>
      <c r="E34" s="107"/>
      <c r="F34" s="107"/>
      <c r="G34" s="107"/>
      <c r="H34" s="107"/>
      <c r="I34" s="107"/>
      <c r="J34" s="107"/>
      <c r="K34" s="107"/>
      <c r="L34" s="107"/>
      <c r="M34" s="107"/>
      <c r="N34" s="107"/>
      <c r="O34" s="107"/>
      <c r="P34" s="107"/>
      <c r="Q34" s="107"/>
      <c r="R34" s="107"/>
      <c r="S34" s="107"/>
      <c r="T34" s="107"/>
      <c r="U34" s="97"/>
      <c r="V34" s="99"/>
    </row>
    <row r="35" spans="1:22" ht="15" thickBot="1" x14ac:dyDescent="0.4">
      <c r="A35" s="101"/>
      <c r="B35" s="49" t="s">
        <v>161</v>
      </c>
      <c r="C35" s="61"/>
      <c r="D35" s="2"/>
      <c r="E35" s="111">
        <f>E22-E33</f>
        <v>48584.600000000093</v>
      </c>
      <c r="F35" s="111">
        <f t="shared" ref="F35:S35" si="16">F22-F33</f>
        <v>-46294.919696969679</v>
      </c>
      <c r="G35" s="111">
        <f t="shared" si="16"/>
        <v>16581.080303030321</v>
      </c>
      <c r="H35" s="111">
        <f t="shared" si="16"/>
        <v>24681.080303030321</v>
      </c>
      <c r="I35" s="111">
        <f t="shared" si="16"/>
        <v>21581.080303030321</v>
      </c>
      <c r="J35" s="111">
        <f t="shared" si="16"/>
        <v>16581.080303030321</v>
      </c>
      <c r="K35" s="111">
        <f t="shared" si="16"/>
        <v>24681.080303030321</v>
      </c>
      <c r="L35" s="111">
        <f t="shared" si="16"/>
        <v>5081.0803030303214</v>
      </c>
      <c r="M35" s="111">
        <f t="shared" si="16"/>
        <v>19081.080303030321</v>
      </c>
      <c r="N35" s="111">
        <f t="shared" si="16"/>
        <v>22181.080303030321</v>
      </c>
      <c r="O35" s="111">
        <f t="shared" si="16"/>
        <v>14081.080303030321</v>
      </c>
      <c r="P35" s="111">
        <f t="shared" si="16"/>
        <v>-93474.919696969679</v>
      </c>
      <c r="Q35" s="111">
        <f t="shared" si="16"/>
        <v>23824.716666666674</v>
      </c>
      <c r="R35" s="111">
        <f t="shared" si="16"/>
        <v>48584.600000000093</v>
      </c>
      <c r="S35" s="111">
        <f t="shared" si="16"/>
        <v>0</v>
      </c>
      <c r="T35" s="107"/>
      <c r="U35" s="97"/>
      <c r="V35" s="99"/>
    </row>
    <row r="36" spans="1:22" ht="15" thickTop="1" x14ac:dyDescent="0.35">
      <c r="A36" s="101"/>
      <c r="B36" s="49"/>
      <c r="C36" s="61"/>
      <c r="D36" s="2"/>
      <c r="E36" s="107"/>
      <c r="F36" s="107"/>
      <c r="G36" s="107"/>
      <c r="H36" s="107"/>
      <c r="I36" s="107"/>
      <c r="J36" s="107"/>
      <c r="K36" s="107"/>
      <c r="L36" s="107"/>
      <c r="M36" s="107"/>
      <c r="N36" s="107"/>
      <c r="O36" s="107"/>
      <c r="P36" s="107"/>
      <c r="Q36" s="107"/>
      <c r="R36" s="107"/>
      <c r="S36" s="107"/>
      <c r="T36" s="107"/>
      <c r="U36" s="97"/>
      <c r="V36" s="99"/>
    </row>
    <row r="37" spans="1:22" x14ac:dyDescent="0.35">
      <c r="A37" s="101"/>
      <c r="B37" s="49" t="s">
        <v>165</v>
      </c>
      <c r="C37" s="61"/>
      <c r="D37" s="2"/>
      <c r="E37" s="107"/>
      <c r="F37" s="88">
        <v>0</v>
      </c>
      <c r="G37" s="88">
        <v>0</v>
      </c>
      <c r="H37" s="88">
        <v>0</v>
      </c>
      <c r="I37" s="88">
        <v>0</v>
      </c>
      <c r="J37" s="88">
        <v>0</v>
      </c>
      <c r="K37" s="88">
        <v>0</v>
      </c>
      <c r="L37" s="88">
        <v>0</v>
      </c>
      <c r="M37" s="88">
        <v>0</v>
      </c>
      <c r="N37" s="88">
        <v>0</v>
      </c>
      <c r="O37" s="88">
        <v>0</v>
      </c>
      <c r="P37" s="88">
        <v>0</v>
      </c>
      <c r="Q37" s="88">
        <v>0</v>
      </c>
      <c r="R37" s="107"/>
      <c r="S37" s="107"/>
      <c r="T37" s="107"/>
      <c r="U37" s="97"/>
      <c r="V37" s="99"/>
    </row>
    <row r="38" spans="1:22" s="116" customFormat="1" x14ac:dyDescent="0.35">
      <c r="A38" s="260"/>
      <c r="B38" s="47" t="s">
        <v>166</v>
      </c>
      <c r="C38" s="105"/>
      <c r="D38" s="2"/>
      <c r="E38" s="107"/>
      <c r="F38" s="88">
        <v>0</v>
      </c>
      <c r="G38" s="88">
        <v>0</v>
      </c>
      <c r="H38" s="88">
        <v>0</v>
      </c>
      <c r="I38" s="88">
        <v>0</v>
      </c>
      <c r="J38" s="88">
        <v>0</v>
      </c>
      <c r="K38" s="88">
        <v>0</v>
      </c>
      <c r="L38" s="88">
        <v>0</v>
      </c>
      <c r="M38" s="88">
        <v>0</v>
      </c>
      <c r="N38" s="88">
        <v>0</v>
      </c>
      <c r="O38" s="88">
        <v>0</v>
      </c>
      <c r="P38" s="88">
        <v>0</v>
      </c>
      <c r="Q38" s="88">
        <v>0</v>
      </c>
      <c r="R38" s="107"/>
      <c r="S38" s="107"/>
      <c r="T38" s="107"/>
      <c r="U38" s="108"/>
      <c r="V38" s="109"/>
    </row>
    <row r="39" spans="1:22" x14ac:dyDescent="0.35">
      <c r="A39" s="101"/>
      <c r="B39" s="49" t="s">
        <v>167</v>
      </c>
      <c r="C39" s="61"/>
      <c r="D39" s="2"/>
      <c r="E39" s="107"/>
      <c r="F39" s="88">
        <v>0</v>
      </c>
      <c r="G39" s="88">
        <v>0</v>
      </c>
      <c r="H39" s="88">
        <v>0</v>
      </c>
      <c r="I39" s="88">
        <v>0</v>
      </c>
      <c r="J39" s="88">
        <v>0</v>
      </c>
      <c r="K39" s="88">
        <v>0</v>
      </c>
      <c r="L39" s="88">
        <v>0</v>
      </c>
      <c r="M39" s="88">
        <v>0</v>
      </c>
      <c r="N39" s="88">
        <v>0</v>
      </c>
      <c r="O39" s="88">
        <v>0</v>
      </c>
      <c r="P39" s="88">
        <v>0</v>
      </c>
      <c r="Q39" s="88">
        <v>0</v>
      </c>
      <c r="R39" s="107"/>
      <c r="S39" s="107"/>
      <c r="T39" s="107"/>
      <c r="U39" s="97"/>
      <c r="V39" s="99"/>
    </row>
    <row r="40" spans="1:22" x14ac:dyDescent="0.35">
      <c r="A40" s="101"/>
      <c r="B40" s="49" t="s">
        <v>168</v>
      </c>
      <c r="C40" s="61"/>
      <c r="D40" s="2"/>
      <c r="E40" s="107"/>
      <c r="F40" s="88">
        <v>0</v>
      </c>
      <c r="G40" s="88">
        <v>0</v>
      </c>
      <c r="H40" s="88">
        <v>0</v>
      </c>
      <c r="I40" s="88">
        <v>0</v>
      </c>
      <c r="J40" s="88">
        <v>0</v>
      </c>
      <c r="K40" s="88">
        <v>0</v>
      </c>
      <c r="L40" s="88">
        <v>0</v>
      </c>
      <c r="M40" s="88">
        <v>0</v>
      </c>
      <c r="N40" s="88">
        <v>0</v>
      </c>
      <c r="O40" s="88">
        <v>0</v>
      </c>
      <c r="P40" s="88">
        <v>0</v>
      </c>
      <c r="Q40" s="88">
        <v>0</v>
      </c>
      <c r="R40" s="107"/>
      <c r="S40" s="107"/>
      <c r="T40" s="107"/>
      <c r="U40" s="97"/>
      <c r="V40" s="99"/>
    </row>
    <row r="41" spans="1:22" x14ac:dyDescent="0.35">
      <c r="A41" s="101"/>
      <c r="B41" s="49" t="s">
        <v>169</v>
      </c>
      <c r="C41" s="61"/>
      <c r="D41" s="2"/>
      <c r="E41" s="107"/>
      <c r="F41" s="88">
        <v>0</v>
      </c>
      <c r="G41" s="88">
        <v>0</v>
      </c>
      <c r="H41" s="88">
        <v>0</v>
      </c>
      <c r="I41" s="88">
        <v>0</v>
      </c>
      <c r="J41" s="88">
        <v>0</v>
      </c>
      <c r="K41" s="88">
        <v>0</v>
      </c>
      <c r="L41" s="88">
        <v>0</v>
      </c>
      <c r="M41" s="88">
        <v>0</v>
      </c>
      <c r="N41" s="88">
        <v>0</v>
      </c>
      <c r="O41" s="88">
        <v>0</v>
      </c>
      <c r="P41" s="88">
        <v>0</v>
      </c>
      <c r="Q41" s="88">
        <v>0</v>
      </c>
      <c r="R41" s="107"/>
      <c r="S41" s="107"/>
      <c r="T41" s="107"/>
      <c r="U41" s="97"/>
      <c r="V41" s="99"/>
    </row>
    <row r="42" spans="1:22" x14ac:dyDescent="0.35">
      <c r="A42" s="101"/>
      <c r="B42" s="49"/>
      <c r="C42" s="61"/>
      <c r="D42" s="2"/>
      <c r="E42" s="107"/>
      <c r="F42" s="107"/>
      <c r="G42" s="107"/>
      <c r="H42" s="107"/>
      <c r="I42" s="107"/>
      <c r="J42" s="107"/>
      <c r="K42" s="107"/>
      <c r="L42" s="107"/>
      <c r="M42" s="107"/>
      <c r="N42" s="107"/>
      <c r="O42" s="107"/>
      <c r="P42" s="107"/>
      <c r="Q42" s="107"/>
      <c r="R42" s="107"/>
      <c r="S42" s="107"/>
      <c r="T42" s="107"/>
      <c r="U42" s="97"/>
      <c r="V42" s="99"/>
    </row>
    <row r="43" spans="1:22" ht="15" thickBot="1" x14ac:dyDescent="0.4">
      <c r="A43" s="101"/>
      <c r="B43" s="42" t="s">
        <v>162</v>
      </c>
      <c r="C43" s="58"/>
      <c r="D43" s="4"/>
      <c r="E43" s="63"/>
      <c r="F43" s="112">
        <f>F14+F35+SUM(F37:F41)</f>
        <v>31859.555303030327</v>
      </c>
      <c r="G43" s="112">
        <f t="shared" ref="G43:Q43" si="17">G14+G35+SUM(G37:G41)</f>
        <v>48440.635606060649</v>
      </c>
      <c r="H43" s="112">
        <f t="shared" si="17"/>
        <v>73121.71590909097</v>
      </c>
      <c r="I43" s="112">
        <f t="shared" si="17"/>
        <v>94702.796212121291</v>
      </c>
      <c r="J43" s="112">
        <f t="shared" si="17"/>
        <v>111283.87651515161</v>
      </c>
      <c r="K43" s="112">
        <f t="shared" si="17"/>
        <v>135964.95681818193</v>
      </c>
      <c r="L43" s="112">
        <f t="shared" si="17"/>
        <v>141046.03712121226</v>
      </c>
      <c r="M43" s="112">
        <f t="shared" si="17"/>
        <v>160127.11742424258</v>
      </c>
      <c r="N43" s="112">
        <f t="shared" si="17"/>
        <v>182308.1977272729</v>
      </c>
      <c r="O43" s="112">
        <f t="shared" si="17"/>
        <v>196389.27803030322</v>
      </c>
      <c r="P43" s="112">
        <f t="shared" si="17"/>
        <v>102914.35833333354</v>
      </c>
      <c r="Q43" s="112">
        <f t="shared" si="17"/>
        <v>126739.07500000022</v>
      </c>
      <c r="R43" s="81"/>
      <c r="S43" s="81"/>
      <c r="T43" s="107"/>
      <c r="U43" s="97"/>
      <c r="V43" s="99"/>
    </row>
    <row r="44" spans="1:22" ht="15.5" thickTop="1" thickBot="1" x14ac:dyDescent="0.4">
      <c r="A44" s="101"/>
      <c r="B44" s="181"/>
      <c r="C44" s="220"/>
      <c r="D44" s="221"/>
      <c r="E44" s="222"/>
      <c r="F44" s="222"/>
      <c r="G44" s="222"/>
      <c r="H44" s="222"/>
      <c r="I44" s="222"/>
      <c r="J44" s="222"/>
      <c r="K44" s="222"/>
      <c r="L44" s="222"/>
      <c r="M44" s="222"/>
      <c r="N44" s="222"/>
      <c r="O44" s="222"/>
      <c r="P44" s="222"/>
      <c r="Q44" s="222"/>
      <c r="R44" s="222"/>
      <c r="S44" s="222"/>
      <c r="T44" s="222"/>
      <c r="U44" s="133"/>
      <c r="V44" s="134"/>
    </row>
    <row r="45" spans="1:22" x14ac:dyDescent="0.35">
      <c r="A45" s="101"/>
      <c r="B45" s="213"/>
      <c r="C45" s="214"/>
      <c r="D45" s="215"/>
      <c r="E45" s="216"/>
      <c r="F45" s="216"/>
      <c r="G45" s="216"/>
      <c r="H45" s="216"/>
      <c r="I45" s="216"/>
      <c r="J45" s="216"/>
      <c r="K45" s="216"/>
      <c r="L45" s="216"/>
      <c r="M45" s="216"/>
      <c r="N45" s="216"/>
      <c r="O45" s="216"/>
      <c r="P45" s="216"/>
      <c r="Q45" s="216"/>
      <c r="R45" s="216"/>
      <c r="S45" s="216"/>
      <c r="T45" s="216"/>
      <c r="U45" s="94"/>
      <c r="V45" s="95"/>
    </row>
    <row r="46" spans="1:22" x14ac:dyDescent="0.35">
      <c r="A46" s="101"/>
      <c r="B46" s="49"/>
      <c r="C46" s="61"/>
      <c r="D46" s="2"/>
      <c r="E46" s="319" t="s">
        <v>163</v>
      </c>
      <c r="F46" s="322"/>
      <c r="G46" s="323"/>
      <c r="H46" s="323"/>
      <c r="I46" s="323"/>
      <c r="J46" s="323"/>
      <c r="K46" s="323"/>
      <c r="L46" s="323"/>
      <c r="M46" s="323"/>
      <c r="N46" s="323"/>
      <c r="O46" s="323"/>
      <c r="P46" s="323"/>
      <c r="Q46" s="323"/>
      <c r="R46" s="323"/>
      <c r="S46" s="323"/>
      <c r="T46" s="107"/>
      <c r="U46" s="97"/>
      <c r="V46" s="99"/>
    </row>
    <row r="47" spans="1:22" x14ac:dyDescent="0.35">
      <c r="A47" s="101"/>
      <c r="B47" s="49"/>
      <c r="C47" s="61"/>
      <c r="D47" s="2"/>
      <c r="E47" s="107"/>
      <c r="F47" s="107"/>
      <c r="G47" s="107"/>
      <c r="H47" s="107"/>
      <c r="I47" s="107"/>
      <c r="J47" s="107"/>
      <c r="K47" s="107"/>
      <c r="L47" s="107"/>
      <c r="M47" s="107"/>
      <c r="N47" s="107"/>
      <c r="O47" s="107"/>
      <c r="P47" s="107"/>
      <c r="Q47" s="107"/>
      <c r="R47" s="107"/>
      <c r="S47" s="107"/>
      <c r="T47" s="107"/>
      <c r="U47" s="97"/>
      <c r="V47" s="99"/>
    </row>
    <row r="48" spans="1:22" x14ac:dyDescent="0.35">
      <c r="A48" s="101"/>
      <c r="B48" s="49"/>
      <c r="C48" s="61"/>
      <c r="D48" s="2"/>
      <c r="E48" s="102" t="str">
        <f>E10</f>
        <v>Year 1</v>
      </c>
      <c r="F48" s="102" t="str">
        <f t="shared" ref="F48:S48" si="18">F10</f>
        <v>Year 1</v>
      </c>
      <c r="G48" s="102" t="str">
        <f t="shared" si="18"/>
        <v>Year 1</v>
      </c>
      <c r="H48" s="102" t="str">
        <f t="shared" si="18"/>
        <v>Year 1</v>
      </c>
      <c r="I48" s="102" t="str">
        <f t="shared" si="18"/>
        <v>Year 1</v>
      </c>
      <c r="J48" s="102" t="str">
        <f t="shared" si="18"/>
        <v>Year 1</v>
      </c>
      <c r="K48" s="102" t="str">
        <f t="shared" si="18"/>
        <v>Year 1</v>
      </c>
      <c r="L48" s="102" t="str">
        <f t="shared" si="18"/>
        <v>Year 1</v>
      </c>
      <c r="M48" s="102" t="str">
        <f t="shared" si="18"/>
        <v>Year 1</v>
      </c>
      <c r="N48" s="102" t="str">
        <f t="shared" si="18"/>
        <v>Year 1</v>
      </c>
      <c r="O48" s="102" t="str">
        <f t="shared" si="18"/>
        <v>Year 1</v>
      </c>
      <c r="P48" s="102" t="str">
        <f t="shared" si="18"/>
        <v>Year 1</v>
      </c>
      <c r="Q48" s="102" t="str">
        <f t="shared" si="18"/>
        <v>Year 1</v>
      </c>
      <c r="R48" s="102" t="str">
        <f t="shared" si="18"/>
        <v>Year 1</v>
      </c>
      <c r="S48" s="102" t="str">
        <f t="shared" si="18"/>
        <v>Year 1</v>
      </c>
      <c r="T48" s="107"/>
      <c r="U48" s="97"/>
      <c r="V48" s="99"/>
    </row>
    <row r="49" spans="1:22" x14ac:dyDescent="0.35">
      <c r="A49" s="101"/>
      <c r="B49" s="49"/>
      <c r="C49" s="61"/>
      <c r="D49" s="2"/>
      <c r="E49" s="102" t="str">
        <f t="shared" ref="E49:S50" si="19">E11</f>
        <v>2021-22</v>
      </c>
      <c r="F49" s="102" t="str">
        <f t="shared" si="19"/>
        <v>2021-22</v>
      </c>
      <c r="G49" s="102" t="str">
        <f t="shared" si="19"/>
        <v>2021-22</v>
      </c>
      <c r="H49" s="102" t="str">
        <f t="shared" si="19"/>
        <v>2021-22</v>
      </c>
      <c r="I49" s="102" t="str">
        <f t="shared" si="19"/>
        <v>2021-22</v>
      </c>
      <c r="J49" s="102" t="str">
        <f t="shared" si="19"/>
        <v>2021-22</v>
      </c>
      <c r="K49" s="102" t="str">
        <f t="shared" si="19"/>
        <v>2021-22</v>
      </c>
      <c r="L49" s="102" t="str">
        <f t="shared" si="19"/>
        <v>2021-22</v>
      </c>
      <c r="M49" s="102" t="str">
        <f t="shared" si="19"/>
        <v>2021-22</v>
      </c>
      <c r="N49" s="102" t="str">
        <f t="shared" si="19"/>
        <v>2021-22</v>
      </c>
      <c r="O49" s="102" t="str">
        <f t="shared" si="19"/>
        <v>2021-22</v>
      </c>
      <c r="P49" s="102" t="str">
        <f t="shared" si="19"/>
        <v>2021-22</v>
      </c>
      <c r="Q49" s="102" t="str">
        <f t="shared" si="19"/>
        <v>2021-22</v>
      </c>
      <c r="R49" s="102" t="str">
        <f t="shared" si="19"/>
        <v>2021-22</v>
      </c>
      <c r="S49" s="102" t="str">
        <f t="shared" si="19"/>
        <v>2021-22</v>
      </c>
      <c r="T49" s="107"/>
      <c r="U49" s="97"/>
      <c r="V49" s="99"/>
    </row>
    <row r="50" spans="1:22" x14ac:dyDescent="0.35">
      <c r="A50" s="101"/>
      <c r="B50" s="49"/>
      <c r="C50" s="61"/>
      <c r="D50" s="2"/>
      <c r="E50" s="120" t="str">
        <f t="shared" si="19"/>
        <v>Total Budget</v>
      </c>
      <c r="F50" s="120" t="str">
        <f t="shared" si="19"/>
        <v>July</v>
      </c>
      <c r="G50" s="120" t="str">
        <f t="shared" si="19"/>
        <v>August</v>
      </c>
      <c r="H50" s="120" t="str">
        <f t="shared" si="19"/>
        <v>September</v>
      </c>
      <c r="I50" s="120" t="str">
        <f t="shared" si="19"/>
        <v>October</v>
      </c>
      <c r="J50" s="120" t="str">
        <f t="shared" si="19"/>
        <v>November</v>
      </c>
      <c r="K50" s="120" t="str">
        <f t="shared" si="19"/>
        <v>December</v>
      </c>
      <c r="L50" s="120" t="str">
        <f t="shared" si="19"/>
        <v>January</v>
      </c>
      <c r="M50" s="120" t="str">
        <f t="shared" si="19"/>
        <v>February</v>
      </c>
      <c r="N50" s="120" t="str">
        <f t="shared" si="19"/>
        <v>March</v>
      </c>
      <c r="O50" s="120" t="str">
        <f t="shared" si="19"/>
        <v>April</v>
      </c>
      <c r="P50" s="120" t="str">
        <f t="shared" si="19"/>
        <v>May</v>
      </c>
      <c r="Q50" s="120" t="str">
        <f t="shared" si="19"/>
        <v>June</v>
      </c>
      <c r="R50" s="120" t="str">
        <f t="shared" si="19"/>
        <v>Total</v>
      </c>
      <c r="S50" s="120" t="str">
        <f t="shared" si="19"/>
        <v>AR/AP</v>
      </c>
      <c r="T50" s="107"/>
      <c r="U50" s="97"/>
      <c r="V50" s="99"/>
    </row>
    <row r="51" spans="1:22" x14ac:dyDescent="0.35">
      <c r="A51" s="101"/>
      <c r="B51" s="49"/>
      <c r="C51" s="61"/>
      <c r="D51" s="2"/>
      <c r="E51" s="107"/>
      <c r="F51" s="107"/>
      <c r="G51" s="107"/>
      <c r="H51" s="107"/>
      <c r="I51" s="107"/>
      <c r="J51" s="107"/>
      <c r="K51" s="107"/>
      <c r="L51" s="107"/>
      <c r="M51" s="107"/>
      <c r="N51" s="107"/>
      <c r="O51" s="107"/>
      <c r="P51" s="107"/>
      <c r="Q51" s="107"/>
      <c r="R51" s="107"/>
      <c r="S51" s="107"/>
      <c r="T51" s="107"/>
      <c r="U51" s="97"/>
      <c r="V51" s="99"/>
    </row>
    <row r="52" spans="1:22" x14ac:dyDescent="0.35">
      <c r="A52" s="101"/>
      <c r="B52" s="49"/>
      <c r="C52" s="61"/>
      <c r="D52" s="2"/>
      <c r="E52" s="107"/>
      <c r="F52" s="107"/>
      <c r="G52" s="107"/>
      <c r="H52" s="107"/>
      <c r="I52" s="107"/>
      <c r="J52" s="107"/>
      <c r="K52" s="107"/>
      <c r="L52" s="107"/>
      <c r="M52" s="107"/>
      <c r="N52" s="107"/>
      <c r="O52" s="107"/>
      <c r="P52" s="107"/>
      <c r="Q52" s="107"/>
      <c r="R52" s="107"/>
      <c r="S52" s="107"/>
      <c r="T52" s="107"/>
      <c r="U52" s="97"/>
      <c r="V52" s="99"/>
    </row>
    <row r="53" spans="1:22" x14ac:dyDescent="0.35">
      <c r="A53" s="101"/>
      <c r="B53" s="42" t="s">
        <v>154</v>
      </c>
      <c r="C53" s="61"/>
      <c r="D53" s="2"/>
      <c r="E53" s="319" t="s">
        <v>154</v>
      </c>
      <c r="F53" s="322"/>
      <c r="G53" s="323"/>
      <c r="H53" s="323"/>
      <c r="I53" s="323"/>
      <c r="J53" s="323"/>
      <c r="K53" s="323"/>
      <c r="L53" s="323"/>
      <c r="M53" s="323"/>
      <c r="N53" s="323"/>
      <c r="O53" s="323"/>
      <c r="P53" s="323"/>
      <c r="Q53" s="323"/>
      <c r="R53" s="323"/>
      <c r="S53" s="323"/>
      <c r="T53" s="63" t="s">
        <v>133</v>
      </c>
      <c r="U53" s="97"/>
      <c r="V53" s="99"/>
    </row>
    <row r="54" spans="1:22" x14ac:dyDescent="0.35">
      <c r="A54" s="101"/>
      <c r="B54" s="49"/>
      <c r="C54" s="61"/>
      <c r="D54" s="2"/>
      <c r="E54" s="107"/>
      <c r="F54" s="107"/>
      <c r="G54" s="107"/>
      <c r="H54" s="107"/>
      <c r="I54" s="107"/>
      <c r="J54" s="107"/>
      <c r="K54" s="107"/>
      <c r="L54" s="107"/>
      <c r="M54" s="107"/>
      <c r="N54" s="107"/>
      <c r="O54" s="107"/>
      <c r="P54" s="107"/>
      <c r="Q54" s="107"/>
      <c r="R54" s="107"/>
      <c r="S54" s="107"/>
      <c r="T54" s="107"/>
      <c r="U54" s="97"/>
      <c r="V54" s="99"/>
    </row>
    <row r="55" spans="1:22" x14ac:dyDescent="0.35">
      <c r="B55" s="42" t="s">
        <v>102</v>
      </c>
      <c r="C55" s="84"/>
      <c r="D55" s="61"/>
      <c r="E55" s="122"/>
      <c r="F55" s="122"/>
      <c r="G55" s="122"/>
      <c r="H55" s="122"/>
      <c r="I55" s="122"/>
      <c r="J55" s="122"/>
      <c r="K55" s="122"/>
      <c r="L55" s="122"/>
      <c r="M55" s="122"/>
      <c r="N55" s="122"/>
      <c r="O55" s="122"/>
      <c r="P55" s="122"/>
      <c r="Q55" s="122"/>
      <c r="R55" s="122"/>
      <c r="S55" s="122"/>
      <c r="T55" s="63" t="s">
        <v>133</v>
      </c>
      <c r="U55" s="97"/>
      <c r="V55" s="99"/>
    </row>
    <row r="56" spans="1:22" x14ac:dyDescent="0.35">
      <c r="B56" s="47" t="str">
        <f>'6) Year 1 Budget'!B18</f>
        <v xml:space="preserve">Basic Education Program </v>
      </c>
      <c r="C56" s="113"/>
      <c r="D56" s="97"/>
      <c r="E56" s="115">
        <f>'6) Year 1 Budget'!E18</f>
        <v>1015680</v>
      </c>
      <c r="F56" s="87">
        <v>0</v>
      </c>
      <c r="G56" s="87">
        <f>$E56/10</f>
        <v>101568</v>
      </c>
      <c r="H56" s="87">
        <f t="shared" ref="H56:Q57" si="20">$E56/10</f>
        <v>101568</v>
      </c>
      <c r="I56" s="87">
        <f t="shared" si="20"/>
        <v>101568</v>
      </c>
      <c r="J56" s="87">
        <f t="shared" si="20"/>
        <v>101568</v>
      </c>
      <c r="K56" s="87">
        <f t="shared" si="20"/>
        <v>101568</v>
      </c>
      <c r="L56" s="87">
        <f t="shared" si="20"/>
        <v>101568</v>
      </c>
      <c r="M56" s="87">
        <f t="shared" si="20"/>
        <v>101568</v>
      </c>
      <c r="N56" s="87">
        <f t="shared" si="20"/>
        <v>101568</v>
      </c>
      <c r="O56" s="87">
        <f t="shared" si="20"/>
        <v>101568</v>
      </c>
      <c r="P56" s="87">
        <v>0</v>
      </c>
      <c r="Q56" s="87">
        <f t="shared" si="20"/>
        <v>101568</v>
      </c>
      <c r="R56" s="78">
        <f>SUM(F56:Q56)</f>
        <v>1015680</v>
      </c>
      <c r="S56" s="78">
        <f>E56-R56</f>
        <v>0</v>
      </c>
      <c r="T56" s="165" t="s">
        <v>359</v>
      </c>
      <c r="U56" s="97"/>
      <c r="V56" s="99"/>
    </row>
    <row r="57" spans="1:22" x14ac:dyDescent="0.35">
      <c r="B57" s="47" t="str">
        <f>'6) Year 1 Budget'!B19</f>
        <v>BEP Transportation Component</v>
      </c>
      <c r="C57" s="113"/>
      <c r="D57" s="97"/>
      <c r="E57" s="115">
        <f>'6) Year 1 Budget'!E19</f>
        <v>23880</v>
      </c>
      <c r="F57" s="87">
        <v>0</v>
      </c>
      <c r="G57" s="87">
        <f>$E57/10</f>
        <v>2388</v>
      </c>
      <c r="H57" s="87">
        <f t="shared" si="20"/>
        <v>2388</v>
      </c>
      <c r="I57" s="87">
        <f t="shared" si="20"/>
        <v>2388</v>
      </c>
      <c r="J57" s="87">
        <f t="shared" si="20"/>
        <v>2388</v>
      </c>
      <c r="K57" s="87">
        <f t="shared" si="20"/>
        <v>2388</v>
      </c>
      <c r="L57" s="87">
        <f t="shared" si="20"/>
        <v>2388</v>
      </c>
      <c r="M57" s="87">
        <f t="shared" si="20"/>
        <v>2388</v>
      </c>
      <c r="N57" s="87">
        <f t="shared" si="20"/>
        <v>2388</v>
      </c>
      <c r="O57" s="87">
        <f t="shared" si="20"/>
        <v>2388</v>
      </c>
      <c r="P57" s="87">
        <v>0</v>
      </c>
      <c r="Q57" s="87">
        <f t="shared" si="20"/>
        <v>2388</v>
      </c>
      <c r="R57" s="78">
        <f>SUM(F57:Q57)</f>
        <v>23880</v>
      </c>
      <c r="S57" s="78">
        <f>E57-R57</f>
        <v>0</v>
      </c>
      <c r="T57" s="165" t="s">
        <v>359</v>
      </c>
      <c r="U57" s="97"/>
      <c r="V57" s="99"/>
    </row>
    <row r="58" spans="1:22" x14ac:dyDescent="0.35">
      <c r="B58" s="47" t="str">
        <f>'6) Year 1 Budget'!B20</f>
        <v>BEP Capital Outlay</v>
      </c>
      <c r="C58" s="113"/>
      <c r="D58" s="97"/>
      <c r="E58" s="115">
        <f>'6) Year 1 Budget'!E20</f>
        <v>36000</v>
      </c>
      <c r="F58" s="87">
        <v>0</v>
      </c>
      <c r="G58" s="87">
        <f>$E58/10</f>
        <v>3600</v>
      </c>
      <c r="H58" s="87">
        <f t="shared" ref="H58:O58" si="21">$E58/10</f>
        <v>3600</v>
      </c>
      <c r="I58" s="87">
        <f t="shared" si="21"/>
        <v>3600</v>
      </c>
      <c r="J58" s="87">
        <f t="shared" si="21"/>
        <v>3600</v>
      </c>
      <c r="K58" s="87">
        <f t="shared" si="21"/>
        <v>3600</v>
      </c>
      <c r="L58" s="87">
        <f t="shared" si="21"/>
        <v>3600</v>
      </c>
      <c r="M58" s="87">
        <f t="shared" si="21"/>
        <v>3600</v>
      </c>
      <c r="N58" s="87">
        <f t="shared" si="21"/>
        <v>3600</v>
      </c>
      <c r="O58" s="87">
        <f t="shared" si="21"/>
        <v>3600</v>
      </c>
      <c r="P58" s="87">
        <v>0</v>
      </c>
      <c r="Q58" s="87">
        <f>$E58/10</f>
        <v>3600</v>
      </c>
      <c r="R58" s="78">
        <f>SUM(F58:Q58)</f>
        <v>36000</v>
      </c>
      <c r="S58" s="78">
        <f>E58-R58</f>
        <v>0</v>
      </c>
      <c r="T58" s="165" t="s">
        <v>359</v>
      </c>
      <c r="U58" s="97"/>
      <c r="V58" s="99"/>
    </row>
    <row r="59" spans="1:22" x14ac:dyDescent="0.35">
      <c r="B59" s="47" t="str">
        <f>'6) Year 1 Budget'!B21</f>
        <v>Other</v>
      </c>
      <c r="C59" s="113"/>
      <c r="D59" s="97"/>
      <c r="E59" s="115">
        <f>'6) Year 1 Budget'!E21</f>
        <v>0</v>
      </c>
      <c r="F59" s="87">
        <f>$E59/12</f>
        <v>0</v>
      </c>
      <c r="G59" s="87">
        <f t="shared" ref="G59:Q60" si="22">$E59/12</f>
        <v>0</v>
      </c>
      <c r="H59" s="87">
        <f t="shared" si="22"/>
        <v>0</v>
      </c>
      <c r="I59" s="87">
        <f t="shared" si="22"/>
        <v>0</v>
      </c>
      <c r="J59" s="87">
        <f t="shared" si="22"/>
        <v>0</v>
      </c>
      <c r="K59" s="87">
        <f t="shared" si="22"/>
        <v>0</v>
      </c>
      <c r="L59" s="87">
        <f t="shared" si="22"/>
        <v>0</v>
      </c>
      <c r="M59" s="87">
        <f t="shared" si="22"/>
        <v>0</v>
      </c>
      <c r="N59" s="87">
        <f t="shared" si="22"/>
        <v>0</v>
      </c>
      <c r="O59" s="87">
        <f t="shared" si="22"/>
        <v>0</v>
      </c>
      <c r="P59" s="87">
        <f t="shared" si="22"/>
        <v>0</v>
      </c>
      <c r="Q59" s="87">
        <f t="shared" si="22"/>
        <v>0</v>
      </c>
      <c r="R59" s="78">
        <f>SUM(F59:Q59)</f>
        <v>0</v>
      </c>
      <c r="S59" s="78">
        <f>E59-R59</f>
        <v>0</v>
      </c>
      <c r="T59" s="165"/>
      <c r="U59" s="97"/>
      <c r="V59" s="99"/>
    </row>
    <row r="60" spans="1:22" x14ac:dyDescent="0.35">
      <c r="B60" s="47" t="str">
        <f>'6) Year 1 Budget'!B22</f>
        <v>Other</v>
      </c>
      <c r="C60" s="113"/>
      <c r="D60" s="97"/>
      <c r="E60" s="115">
        <f>'6) Year 1 Budget'!E22</f>
        <v>0</v>
      </c>
      <c r="F60" s="87">
        <f>$E60/12</f>
        <v>0</v>
      </c>
      <c r="G60" s="87">
        <f t="shared" si="22"/>
        <v>0</v>
      </c>
      <c r="H60" s="87">
        <f t="shared" si="22"/>
        <v>0</v>
      </c>
      <c r="I60" s="87">
        <f t="shared" si="22"/>
        <v>0</v>
      </c>
      <c r="J60" s="87">
        <f t="shared" si="22"/>
        <v>0</v>
      </c>
      <c r="K60" s="87">
        <f t="shared" si="22"/>
        <v>0</v>
      </c>
      <c r="L60" s="87">
        <f t="shared" si="22"/>
        <v>0</v>
      </c>
      <c r="M60" s="87">
        <f t="shared" si="22"/>
        <v>0</v>
      </c>
      <c r="N60" s="87">
        <f t="shared" si="22"/>
        <v>0</v>
      </c>
      <c r="O60" s="87">
        <f t="shared" si="22"/>
        <v>0</v>
      </c>
      <c r="P60" s="87">
        <f t="shared" si="22"/>
        <v>0</v>
      </c>
      <c r="Q60" s="87">
        <f t="shared" si="22"/>
        <v>0</v>
      </c>
      <c r="R60" s="78">
        <f>SUM(F60:Q60)</f>
        <v>0</v>
      </c>
      <c r="S60" s="78">
        <f>E60-R60</f>
        <v>0</v>
      </c>
      <c r="T60" s="165"/>
      <c r="U60" s="97"/>
      <c r="V60" s="99"/>
    </row>
    <row r="61" spans="1:22" s="108" customFormat="1" x14ac:dyDescent="0.35">
      <c r="B61" s="47"/>
      <c r="C61" s="114"/>
      <c r="E61" s="110"/>
      <c r="F61" s="68"/>
      <c r="G61" s="68"/>
      <c r="H61" s="68"/>
      <c r="I61" s="68"/>
      <c r="J61" s="68"/>
      <c r="K61" s="68"/>
      <c r="L61" s="68"/>
      <c r="M61" s="68"/>
      <c r="N61" s="68"/>
      <c r="O61" s="68"/>
      <c r="P61" s="68"/>
      <c r="Q61" s="68"/>
      <c r="R61" s="68"/>
      <c r="S61" s="68"/>
      <c r="T61" s="68"/>
      <c r="V61" s="109"/>
    </row>
    <row r="62" spans="1:22" x14ac:dyDescent="0.35">
      <c r="B62" s="45" t="s">
        <v>103</v>
      </c>
      <c r="C62" s="113"/>
      <c r="D62" s="97"/>
      <c r="E62" s="110"/>
      <c r="F62" s="68"/>
      <c r="G62" s="68"/>
      <c r="H62" s="68"/>
      <c r="I62" s="68"/>
      <c r="J62" s="68"/>
      <c r="K62" s="68"/>
      <c r="L62" s="68"/>
      <c r="M62" s="68"/>
      <c r="N62" s="68"/>
      <c r="O62" s="68"/>
      <c r="P62" s="68"/>
      <c r="Q62" s="68"/>
      <c r="R62" s="68"/>
      <c r="S62" s="68"/>
      <c r="T62" s="68"/>
      <c r="U62" s="97"/>
      <c r="V62" s="99"/>
    </row>
    <row r="63" spans="1:22" s="250" customFormat="1" x14ac:dyDescent="0.35">
      <c r="B63" s="251" t="str">
        <f>'6) Year 1 Budget'!B25</f>
        <v>Title I</v>
      </c>
      <c r="C63" s="252"/>
      <c r="D63" s="253"/>
      <c r="E63" s="254">
        <f>'6) Year 1 Budget'!E25</f>
        <v>32400</v>
      </c>
      <c r="F63" s="87">
        <v>0</v>
      </c>
      <c r="G63" s="87">
        <v>0</v>
      </c>
      <c r="H63" s="87">
        <f>$E63/4</f>
        <v>8100</v>
      </c>
      <c r="I63" s="87">
        <v>0</v>
      </c>
      <c r="J63" s="87">
        <v>0</v>
      </c>
      <c r="K63" s="87">
        <f>$E63/4</f>
        <v>8100</v>
      </c>
      <c r="L63" s="87">
        <v>0</v>
      </c>
      <c r="M63" s="87">
        <v>0</v>
      </c>
      <c r="N63" s="87">
        <f>$E63/4</f>
        <v>8100</v>
      </c>
      <c r="O63" s="87">
        <v>0</v>
      </c>
      <c r="P63" s="87">
        <v>0</v>
      </c>
      <c r="Q63" s="87">
        <f>$E63/4</f>
        <v>8100</v>
      </c>
      <c r="R63" s="255">
        <f t="shared" ref="R63:R70" si="23">SUM(F63:Q63)</f>
        <v>32400</v>
      </c>
      <c r="S63" s="255">
        <f t="shared" ref="S63:S70" si="24">E63-R63</f>
        <v>0</v>
      </c>
      <c r="T63" s="165" t="s">
        <v>441</v>
      </c>
      <c r="U63" s="253"/>
      <c r="V63" s="256"/>
    </row>
    <row r="64" spans="1:22" x14ac:dyDescent="0.35">
      <c r="B64" s="47" t="str">
        <f>'6) Year 1 Budget'!B26</f>
        <v>Title II</v>
      </c>
      <c r="C64" s="113"/>
      <c r="D64" s="97"/>
      <c r="E64" s="115">
        <f>'6) Year 1 Budget'!E26</f>
        <v>0</v>
      </c>
      <c r="F64" s="87">
        <f t="shared" ref="F64:F70" si="25">$E64/12</f>
        <v>0</v>
      </c>
      <c r="G64" s="87">
        <f t="shared" ref="G64:Q70" si="26">$E64/12</f>
        <v>0</v>
      </c>
      <c r="H64" s="87">
        <f t="shared" si="26"/>
        <v>0</v>
      </c>
      <c r="I64" s="87">
        <f t="shared" si="26"/>
        <v>0</v>
      </c>
      <c r="J64" s="87">
        <f t="shared" si="26"/>
        <v>0</v>
      </c>
      <c r="K64" s="87">
        <f t="shared" si="26"/>
        <v>0</v>
      </c>
      <c r="L64" s="87">
        <f t="shared" si="26"/>
        <v>0</v>
      </c>
      <c r="M64" s="87">
        <f t="shared" si="26"/>
        <v>0</v>
      </c>
      <c r="N64" s="87">
        <f t="shared" si="26"/>
        <v>0</v>
      </c>
      <c r="O64" s="87">
        <f t="shared" si="26"/>
        <v>0</v>
      </c>
      <c r="P64" s="87">
        <f t="shared" si="26"/>
        <v>0</v>
      </c>
      <c r="Q64" s="87">
        <f t="shared" si="26"/>
        <v>0</v>
      </c>
      <c r="R64" s="78">
        <f t="shared" si="23"/>
        <v>0</v>
      </c>
      <c r="S64" s="78">
        <f t="shared" si="24"/>
        <v>0</v>
      </c>
      <c r="T64" s="165"/>
      <c r="U64" s="97"/>
      <c r="V64" s="99"/>
    </row>
    <row r="65" spans="2:22" x14ac:dyDescent="0.35">
      <c r="B65" s="47" t="str">
        <f>'6) Year 1 Budget'!B27</f>
        <v>Title III</v>
      </c>
      <c r="C65" s="113"/>
      <c r="D65" s="97"/>
      <c r="E65" s="115">
        <f>'6) Year 1 Budget'!E27</f>
        <v>0</v>
      </c>
      <c r="F65" s="87">
        <f t="shared" si="25"/>
        <v>0</v>
      </c>
      <c r="G65" s="87">
        <f t="shared" si="26"/>
        <v>0</v>
      </c>
      <c r="H65" s="87">
        <f t="shared" si="26"/>
        <v>0</v>
      </c>
      <c r="I65" s="87">
        <f t="shared" si="26"/>
        <v>0</v>
      </c>
      <c r="J65" s="87">
        <f t="shared" si="26"/>
        <v>0</v>
      </c>
      <c r="K65" s="87">
        <f t="shared" si="26"/>
        <v>0</v>
      </c>
      <c r="L65" s="87">
        <f t="shared" si="26"/>
        <v>0</v>
      </c>
      <c r="M65" s="87">
        <f t="shared" si="26"/>
        <v>0</v>
      </c>
      <c r="N65" s="87">
        <f t="shared" si="26"/>
        <v>0</v>
      </c>
      <c r="O65" s="87">
        <f t="shared" si="26"/>
        <v>0</v>
      </c>
      <c r="P65" s="87">
        <f t="shared" si="26"/>
        <v>0</v>
      </c>
      <c r="Q65" s="87">
        <f t="shared" si="26"/>
        <v>0</v>
      </c>
      <c r="R65" s="78">
        <f t="shared" si="23"/>
        <v>0</v>
      </c>
      <c r="S65" s="78">
        <f t="shared" si="24"/>
        <v>0</v>
      </c>
      <c r="T65" s="165"/>
      <c r="U65" s="97"/>
      <c r="V65" s="99"/>
    </row>
    <row r="66" spans="2:22" x14ac:dyDescent="0.35">
      <c r="B66" s="47" t="str">
        <f>'6) Year 1 Budget'!B28</f>
        <v>NSLP</v>
      </c>
      <c r="C66" s="113"/>
      <c r="D66" s="97"/>
      <c r="E66" s="115">
        <f>'6) Year 1 Budget'!E28</f>
        <v>0</v>
      </c>
      <c r="F66" s="87">
        <f t="shared" si="25"/>
        <v>0</v>
      </c>
      <c r="G66" s="87">
        <f t="shared" si="26"/>
        <v>0</v>
      </c>
      <c r="H66" s="87">
        <f t="shared" si="26"/>
        <v>0</v>
      </c>
      <c r="I66" s="87">
        <f t="shared" si="26"/>
        <v>0</v>
      </c>
      <c r="J66" s="87">
        <f t="shared" si="26"/>
        <v>0</v>
      </c>
      <c r="K66" s="87">
        <f t="shared" si="26"/>
        <v>0</v>
      </c>
      <c r="L66" s="87">
        <f t="shared" si="26"/>
        <v>0</v>
      </c>
      <c r="M66" s="87">
        <f t="shared" si="26"/>
        <v>0</v>
      </c>
      <c r="N66" s="87">
        <f t="shared" si="26"/>
        <v>0</v>
      </c>
      <c r="O66" s="87">
        <f t="shared" si="26"/>
        <v>0</v>
      </c>
      <c r="P66" s="87">
        <f t="shared" si="26"/>
        <v>0</v>
      </c>
      <c r="Q66" s="87">
        <f t="shared" si="26"/>
        <v>0</v>
      </c>
      <c r="R66" s="78">
        <f t="shared" si="23"/>
        <v>0</v>
      </c>
      <c r="S66" s="78">
        <f t="shared" si="24"/>
        <v>0</v>
      </c>
      <c r="T66" s="165"/>
      <c r="U66" s="97"/>
      <c r="V66" s="99"/>
    </row>
    <row r="67" spans="2:22" s="116" customFormat="1" x14ac:dyDescent="0.35">
      <c r="B67" s="47" t="str">
        <f>'6) Year 1 Budget'!B29</f>
        <v>E-Rate</v>
      </c>
      <c r="C67" s="113"/>
      <c r="D67" s="108"/>
      <c r="E67" s="115">
        <f>'6) Year 1 Budget'!E29</f>
        <v>18000</v>
      </c>
      <c r="F67" s="87">
        <f t="shared" si="25"/>
        <v>1500</v>
      </c>
      <c r="G67" s="87">
        <f t="shared" si="26"/>
        <v>1500</v>
      </c>
      <c r="H67" s="87">
        <f t="shared" si="26"/>
        <v>1500</v>
      </c>
      <c r="I67" s="87">
        <f t="shared" si="26"/>
        <v>1500</v>
      </c>
      <c r="J67" s="87">
        <f t="shared" si="26"/>
        <v>1500</v>
      </c>
      <c r="K67" s="87">
        <f t="shared" si="26"/>
        <v>1500</v>
      </c>
      <c r="L67" s="87">
        <f t="shared" si="26"/>
        <v>1500</v>
      </c>
      <c r="M67" s="87">
        <f t="shared" si="26"/>
        <v>1500</v>
      </c>
      <c r="N67" s="87">
        <f t="shared" si="26"/>
        <v>1500</v>
      </c>
      <c r="O67" s="87">
        <f t="shared" si="26"/>
        <v>1500</v>
      </c>
      <c r="P67" s="87">
        <f t="shared" si="26"/>
        <v>1500</v>
      </c>
      <c r="Q67" s="87">
        <f t="shared" si="26"/>
        <v>1500</v>
      </c>
      <c r="R67" s="78">
        <f t="shared" si="23"/>
        <v>18000</v>
      </c>
      <c r="S67" s="78">
        <f t="shared" si="24"/>
        <v>0</v>
      </c>
      <c r="T67" s="165" t="s">
        <v>442</v>
      </c>
      <c r="U67" s="108"/>
      <c r="V67" s="109"/>
    </row>
    <row r="68" spans="2:22" s="116" customFormat="1" x14ac:dyDescent="0.35">
      <c r="B68" s="47" t="str">
        <f>'6) Year 1 Budget'!B30</f>
        <v>CSP Startup Grant</v>
      </c>
      <c r="C68" s="113"/>
      <c r="D68" s="108"/>
      <c r="E68" s="115">
        <f>'6) Year 1 Budget'!E30</f>
        <v>200000</v>
      </c>
      <c r="F68" s="87">
        <v>200000</v>
      </c>
      <c r="G68" s="87">
        <v>0</v>
      </c>
      <c r="H68" s="87"/>
      <c r="I68" s="87">
        <v>0</v>
      </c>
      <c r="J68" s="87">
        <v>0</v>
      </c>
      <c r="K68" s="87"/>
      <c r="L68" s="87">
        <v>0</v>
      </c>
      <c r="M68" s="87">
        <v>0</v>
      </c>
      <c r="N68" s="87"/>
      <c r="O68" s="87">
        <v>0</v>
      </c>
      <c r="P68" s="87">
        <v>0</v>
      </c>
      <c r="Q68" s="87"/>
      <c r="R68" s="78">
        <f t="shared" si="23"/>
        <v>200000</v>
      </c>
      <c r="S68" s="78">
        <f t="shared" si="24"/>
        <v>0</v>
      </c>
      <c r="T68" s="165" t="s">
        <v>443</v>
      </c>
      <c r="U68" s="108"/>
      <c r="V68" s="109"/>
    </row>
    <row r="69" spans="2:22" x14ac:dyDescent="0.35">
      <c r="B69" s="47" t="str">
        <f>'6) Year 1 Budget'!B31</f>
        <v>Other</v>
      </c>
      <c r="C69" s="113"/>
      <c r="D69" s="97"/>
      <c r="E69" s="115">
        <f>'6) Year 1 Budget'!E31</f>
        <v>0</v>
      </c>
      <c r="F69" s="87">
        <f t="shared" si="25"/>
        <v>0</v>
      </c>
      <c r="G69" s="87">
        <f t="shared" si="26"/>
        <v>0</v>
      </c>
      <c r="H69" s="87">
        <f t="shared" si="26"/>
        <v>0</v>
      </c>
      <c r="I69" s="87">
        <f t="shared" si="26"/>
        <v>0</v>
      </c>
      <c r="J69" s="87">
        <f t="shared" si="26"/>
        <v>0</v>
      </c>
      <c r="K69" s="87">
        <f t="shared" si="26"/>
        <v>0</v>
      </c>
      <c r="L69" s="87">
        <f t="shared" si="26"/>
        <v>0</v>
      </c>
      <c r="M69" s="87">
        <f t="shared" si="26"/>
        <v>0</v>
      </c>
      <c r="N69" s="87">
        <f t="shared" si="26"/>
        <v>0</v>
      </c>
      <c r="O69" s="87">
        <f t="shared" si="26"/>
        <v>0</v>
      </c>
      <c r="P69" s="87">
        <f t="shared" si="26"/>
        <v>0</v>
      </c>
      <c r="Q69" s="87">
        <f t="shared" si="26"/>
        <v>0</v>
      </c>
      <c r="R69" s="78">
        <f t="shared" si="23"/>
        <v>0</v>
      </c>
      <c r="S69" s="78">
        <f t="shared" si="24"/>
        <v>0</v>
      </c>
      <c r="T69" s="165"/>
      <c r="U69" s="97"/>
      <c r="V69" s="99"/>
    </row>
    <row r="70" spans="2:22" x14ac:dyDescent="0.35">
      <c r="B70" s="47" t="str">
        <f>'6) Year 1 Budget'!B32</f>
        <v>Other</v>
      </c>
      <c r="C70" s="113"/>
      <c r="D70" s="97"/>
      <c r="E70" s="115">
        <f>'6) Year 1 Budget'!E32</f>
        <v>0</v>
      </c>
      <c r="F70" s="87">
        <f t="shared" si="25"/>
        <v>0</v>
      </c>
      <c r="G70" s="87">
        <f t="shared" si="26"/>
        <v>0</v>
      </c>
      <c r="H70" s="87">
        <f t="shared" si="26"/>
        <v>0</v>
      </c>
      <c r="I70" s="87">
        <f t="shared" si="26"/>
        <v>0</v>
      </c>
      <c r="J70" s="87">
        <f t="shared" si="26"/>
        <v>0</v>
      </c>
      <c r="K70" s="87">
        <f t="shared" si="26"/>
        <v>0</v>
      </c>
      <c r="L70" s="87">
        <f t="shared" si="26"/>
        <v>0</v>
      </c>
      <c r="M70" s="87">
        <f t="shared" si="26"/>
        <v>0</v>
      </c>
      <c r="N70" s="87">
        <f t="shared" si="26"/>
        <v>0</v>
      </c>
      <c r="O70" s="87">
        <f t="shared" si="26"/>
        <v>0</v>
      </c>
      <c r="P70" s="87">
        <f t="shared" si="26"/>
        <v>0</v>
      </c>
      <c r="Q70" s="87">
        <f t="shared" si="26"/>
        <v>0</v>
      </c>
      <c r="R70" s="78">
        <f t="shared" si="23"/>
        <v>0</v>
      </c>
      <c r="S70" s="78">
        <f t="shared" si="24"/>
        <v>0</v>
      </c>
      <c r="T70" s="165"/>
      <c r="U70" s="97"/>
      <c r="V70" s="99"/>
    </row>
    <row r="71" spans="2:22" s="108" customFormat="1" x14ac:dyDescent="0.35">
      <c r="B71" s="47"/>
      <c r="C71" s="114"/>
      <c r="E71" s="110"/>
      <c r="F71" s="68"/>
      <c r="G71" s="68"/>
      <c r="H71" s="68"/>
      <c r="I71" s="68"/>
      <c r="J71" s="68"/>
      <c r="K71" s="68"/>
      <c r="L71" s="68"/>
      <c r="M71" s="68"/>
      <c r="N71" s="68"/>
      <c r="O71" s="68"/>
      <c r="P71" s="68"/>
      <c r="Q71" s="68"/>
      <c r="R71" s="68"/>
      <c r="S71" s="68"/>
      <c r="T71" s="68"/>
      <c r="V71" s="109"/>
    </row>
    <row r="72" spans="2:22" s="108" customFormat="1" x14ac:dyDescent="0.35">
      <c r="B72" s="45" t="str">
        <f>'6) Year 1 Budget'!B34</f>
        <v>School Activity Revenues</v>
      </c>
      <c r="C72" s="114"/>
      <c r="E72" s="110"/>
      <c r="F72" s="68"/>
      <c r="G72" s="68"/>
      <c r="H72" s="68"/>
      <c r="I72" s="68"/>
      <c r="J72" s="68"/>
      <c r="K72" s="68"/>
      <c r="L72" s="68"/>
      <c r="M72" s="68"/>
      <c r="N72" s="68"/>
      <c r="O72" s="68"/>
      <c r="P72" s="68"/>
      <c r="Q72" s="68"/>
      <c r="R72" s="68"/>
      <c r="S72" s="68"/>
      <c r="T72" s="68"/>
      <c r="V72" s="109"/>
    </row>
    <row r="73" spans="2:22" x14ac:dyDescent="0.35">
      <c r="B73" s="47" t="str">
        <f>'6) Year 1 Budget'!B35</f>
        <v>Other</v>
      </c>
      <c r="C73" s="113"/>
      <c r="D73" s="97"/>
      <c r="E73" s="115">
        <f>'6) Year 1 Budget'!E35</f>
        <v>0</v>
      </c>
      <c r="F73" s="87">
        <f>$E73/12</f>
        <v>0</v>
      </c>
      <c r="G73" s="87">
        <f t="shared" ref="G73:Q77" si="27">$E73/12</f>
        <v>0</v>
      </c>
      <c r="H73" s="87">
        <f t="shared" si="27"/>
        <v>0</v>
      </c>
      <c r="I73" s="87">
        <f t="shared" si="27"/>
        <v>0</v>
      </c>
      <c r="J73" s="87">
        <f t="shared" si="27"/>
        <v>0</v>
      </c>
      <c r="K73" s="87">
        <f t="shared" si="27"/>
        <v>0</v>
      </c>
      <c r="L73" s="87">
        <f t="shared" si="27"/>
        <v>0</v>
      </c>
      <c r="M73" s="87">
        <f t="shared" si="27"/>
        <v>0</v>
      </c>
      <c r="N73" s="87">
        <f t="shared" si="27"/>
        <v>0</v>
      </c>
      <c r="O73" s="87">
        <f t="shared" si="27"/>
        <v>0</v>
      </c>
      <c r="P73" s="87">
        <f t="shared" si="27"/>
        <v>0</v>
      </c>
      <c r="Q73" s="87">
        <f t="shared" si="27"/>
        <v>0</v>
      </c>
      <c r="R73" s="78">
        <f>SUM(F73:Q73)</f>
        <v>0</v>
      </c>
      <c r="S73" s="78">
        <f>E73-R73</f>
        <v>0</v>
      </c>
      <c r="T73" s="165"/>
      <c r="U73" s="97"/>
      <c r="V73" s="99"/>
    </row>
    <row r="74" spans="2:22" x14ac:dyDescent="0.35">
      <c r="B74" s="47" t="str">
        <f>'6) Year 1 Budget'!B36</f>
        <v>Other</v>
      </c>
      <c r="C74" s="113"/>
      <c r="D74" s="97"/>
      <c r="E74" s="115">
        <f>'6) Year 1 Budget'!E36</f>
        <v>0</v>
      </c>
      <c r="F74" s="87">
        <f>$E74/12</f>
        <v>0</v>
      </c>
      <c r="G74" s="87">
        <f t="shared" si="27"/>
        <v>0</v>
      </c>
      <c r="H74" s="87">
        <f t="shared" si="27"/>
        <v>0</v>
      </c>
      <c r="I74" s="87">
        <f t="shared" si="27"/>
        <v>0</v>
      </c>
      <c r="J74" s="87">
        <f t="shared" si="27"/>
        <v>0</v>
      </c>
      <c r="K74" s="87">
        <f t="shared" si="27"/>
        <v>0</v>
      </c>
      <c r="L74" s="87">
        <f t="shared" si="27"/>
        <v>0</v>
      </c>
      <c r="M74" s="87">
        <f t="shared" si="27"/>
        <v>0</v>
      </c>
      <c r="N74" s="87">
        <f t="shared" si="27"/>
        <v>0</v>
      </c>
      <c r="O74" s="87">
        <f t="shared" si="27"/>
        <v>0</v>
      </c>
      <c r="P74" s="87">
        <f t="shared" si="27"/>
        <v>0</v>
      </c>
      <c r="Q74" s="87">
        <f t="shared" si="27"/>
        <v>0</v>
      </c>
      <c r="R74" s="78">
        <f>SUM(F74:Q74)</f>
        <v>0</v>
      </c>
      <c r="S74" s="78">
        <f>E74-R74</f>
        <v>0</v>
      </c>
      <c r="T74" s="165"/>
      <c r="U74" s="97"/>
      <c r="V74" s="99"/>
    </row>
    <row r="75" spans="2:22" x14ac:dyDescent="0.35">
      <c r="B75" s="47" t="str">
        <f>'6) Year 1 Budget'!B37</f>
        <v>Other</v>
      </c>
      <c r="C75" s="113"/>
      <c r="D75" s="97"/>
      <c r="E75" s="115">
        <f>'6) Year 1 Budget'!E37</f>
        <v>0</v>
      </c>
      <c r="F75" s="87">
        <f>$E75/12</f>
        <v>0</v>
      </c>
      <c r="G75" s="87">
        <f t="shared" si="27"/>
        <v>0</v>
      </c>
      <c r="H75" s="87">
        <f t="shared" si="27"/>
        <v>0</v>
      </c>
      <c r="I75" s="87">
        <f t="shared" si="27"/>
        <v>0</v>
      </c>
      <c r="J75" s="87">
        <f t="shared" si="27"/>
        <v>0</v>
      </c>
      <c r="K75" s="87">
        <f t="shared" si="27"/>
        <v>0</v>
      </c>
      <c r="L75" s="87">
        <f t="shared" si="27"/>
        <v>0</v>
      </c>
      <c r="M75" s="87">
        <f t="shared" si="27"/>
        <v>0</v>
      </c>
      <c r="N75" s="87">
        <f t="shared" si="27"/>
        <v>0</v>
      </c>
      <c r="O75" s="87">
        <f t="shared" si="27"/>
        <v>0</v>
      </c>
      <c r="P75" s="87">
        <f t="shared" si="27"/>
        <v>0</v>
      </c>
      <c r="Q75" s="87">
        <f t="shared" si="27"/>
        <v>0</v>
      </c>
      <c r="R75" s="78">
        <f>SUM(F75:Q75)</f>
        <v>0</v>
      </c>
      <c r="S75" s="78">
        <f>E75-R75</f>
        <v>0</v>
      </c>
      <c r="T75" s="165"/>
      <c r="U75" s="97"/>
      <c r="V75" s="99"/>
    </row>
    <row r="76" spans="2:22" s="108" customFormat="1" x14ac:dyDescent="0.35">
      <c r="B76" s="47" t="str">
        <f>'6) Year 1 Budget'!B38</f>
        <v>Other</v>
      </c>
      <c r="C76" s="113"/>
      <c r="D76" s="97"/>
      <c r="E76" s="115">
        <f>'6) Year 1 Budget'!E38</f>
        <v>0</v>
      </c>
      <c r="F76" s="87">
        <f>$E76/12</f>
        <v>0</v>
      </c>
      <c r="G76" s="87">
        <f t="shared" si="27"/>
        <v>0</v>
      </c>
      <c r="H76" s="87">
        <f t="shared" si="27"/>
        <v>0</v>
      </c>
      <c r="I76" s="87">
        <f t="shared" si="27"/>
        <v>0</v>
      </c>
      <c r="J76" s="87">
        <f t="shared" si="27"/>
        <v>0</v>
      </c>
      <c r="K76" s="87">
        <f t="shared" si="27"/>
        <v>0</v>
      </c>
      <c r="L76" s="87">
        <f t="shared" si="27"/>
        <v>0</v>
      </c>
      <c r="M76" s="87">
        <f t="shared" si="27"/>
        <v>0</v>
      </c>
      <c r="N76" s="87">
        <f t="shared" si="27"/>
        <v>0</v>
      </c>
      <c r="O76" s="87">
        <f t="shared" si="27"/>
        <v>0</v>
      </c>
      <c r="P76" s="87">
        <f t="shared" si="27"/>
        <v>0</v>
      </c>
      <c r="Q76" s="87">
        <f t="shared" si="27"/>
        <v>0</v>
      </c>
      <c r="R76" s="78">
        <f>SUM(F76:Q76)</f>
        <v>0</v>
      </c>
      <c r="S76" s="78">
        <f>E76-R76</f>
        <v>0</v>
      </c>
      <c r="T76" s="165"/>
      <c r="V76" s="109"/>
    </row>
    <row r="77" spans="2:22" x14ac:dyDescent="0.35">
      <c r="B77" s="47" t="str">
        <f>'6) Year 1 Budget'!B39</f>
        <v>Other</v>
      </c>
      <c r="C77" s="113"/>
      <c r="D77" s="97"/>
      <c r="E77" s="115">
        <f>'6) Year 1 Budget'!E39</f>
        <v>0</v>
      </c>
      <c r="F77" s="87">
        <f>$E77/12</f>
        <v>0</v>
      </c>
      <c r="G77" s="87">
        <f t="shared" si="27"/>
        <v>0</v>
      </c>
      <c r="H77" s="87">
        <f t="shared" si="27"/>
        <v>0</v>
      </c>
      <c r="I77" s="87">
        <f t="shared" si="27"/>
        <v>0</v>
      </c>
      <c r="J77" s="87">
        <f t="shared" si="27"/>
        <v>0</v>
      </c>
      <c r="K77" s="87">
        <f t="shared" si="27"/>
        <v>0</v>
      </c>
      <c r="L77" s="87">
        <f t="shared" si="27"/>
        <v>0</v>
      </c>
      <c r="M77" s="87">
        <f t="shared" si="27"/>
        <v>0</v>
      </c>
      <c r="N77" s="87">
        <f t="shared" si="27"/>
        <v>0</v>
      </c>
      <c r="O77" s="87">
        <f t="shared" si="27"/>
        <v>0</v>
      </c>
      <c r="P77" s="87">
        <f t="shared" si="27"/>
        <v>0</v>
      </c>
      <c r="Q77" s="87">
        <f t="shared" si="27"/>
        <v>0</v>
      </c>
      <c r="R77" s="78">
        <f>SUM(F77:Q77)</f>
        <v>0</v>
      </c>
      <c r="S77" s="78">
        <f>E77-R77</f>
        <v>0</v>
      </c>
      <c r="T77" s="165"/>
      <c r="U77" s="97"/>
      <c r="V77" s="99"/>
    </row>
    <row r="78" spans="2:22" s="108" customFormat="1" x14ac:dyDescent="0.35">
      <c r="B78" s="47"/>
      <c r="C78" s="114"/>
      <c r="E78" s="110"/>
      <c r="F78" s="68"/>
      <c r="G78" s="68"/>
      <c r="H78" s="68"/>
      <c r="I78" s="68"/>
      <c r="J78" s="68"/>
      <c r="K78" s="68"/>
      <c r="L78" s="68"/>
      <c r="M78" s="68"/>
      <c r="N78" s="68"/>
      <c r="O78" s="68"/>
      <c r="P78" s="68"/>
      <c r="Q78" s="68"/>
      <c r="R78" s="68"/>
      <c r="S78" s="68"/>
      <c r="T78" s="68"/>
      <c r="V78" s="109"/>
    </row>
    <row r="79" spans="2:22" x14ac:dyDescent="0.35">
      <c r="B79" s="45" t="str">
        <f>'6) Year 1 Budget'!B41</f>
        <v>Fundraising &amp; Philanthropy</v>
      </c>
      <c r="C79" s="114"/>
      <c r="D79" s="108"/>
      <c r="E79" s="110"/>
      <c r="F79" s="68"/>
      <c r="G79" s="68"/>
      <c r="H79" s="68"/>
      <c r="I79" s="68"/>
      <c r="J79" s="68"/>
      <c r="K79" s="68"/>
      <c r="L79" s="68"/>
      <c r="M79" s="68"/>
      <c r="N79" s="68"/>
      <c r="O79" s="68"/>
      <c r="P79" s="68"/>
      <c r="Q79" s="68"/>
      <c r="R79" s="68"/>
      <c r="S79" s="68"/>
      <c r="T79" s="68"/>
      <c r="U79" s="108"/>
      <c r="V79" s="109"/>
    </row>
    <row r="80" spans="2:22" x14ac:dyDescent="0.35">
      <c r="B80" s="47" t="str">
        <f>'6) Year 1 Budget'!B42</f>
        <v>Walton Family Foundation</v>
      </c>
      <c r="C80" s="113"/>
      <c r="D80" s="97"/>
      <c r="E80" s="115">
        <f>'6) Year 1 Budget'!E42</f>
        <v>0</v>
      </c>
      <c r="F80" s="87">
        <f>$E80/12</f>
        <v>0</v>
      </c>
      <c r="G80" s="87">
        <f t="shared" ref="G80:Q84" si="28">$E80/12</f>
        <v>0</v>
      </c>
      <c r="H80" s="87">
        <f t="shared" si="28"/>
        <v>0</v>
      </c>
      <c r="I80" s="87">
        <f t="shared" si="28"/>
        <v>0</v>
      </c>
      <c r="J80" s="87">
        <f t="shared" si="28"/>
        <v>0</v>
      </c>
      <c r="K80" s="87">
        <f t="shared" si="28"/>
        <v>0</v>
      </c>
      <c r="L80" s="87">
        <f t="shared" si="28"/>
        <v>0</v>
      </c>
      <c r="M80" s="87">
        <f t="shared" si="28"/>
        <v>0</v>
      </c>
      <c r="N80" s="87">
        <f t="shared" si="28"/>
        <v>0</v>
      </c>
      <c r="O80" s="87">
        <f t="shared" si="28"/>
        <v>0</v>
      </c>
      <c r="P80" s="87">
        <f t="shared" si="28"/>
        <v>0</v>
      </c>
      <c r="Q80" s="87">
        <f t="shared" si="28"/>
        <v>0</v>
      </c>
      <c r="R80" s="78">
        <f>SUM(F80:Q80)</f>
        <v>0</v>
      </c>
      <c r="S80" s="78">
        <f>E80-R80</f>
        <v>0</v>
      </c>
      <c r="T80" s="165"/>
      <c r="U80" s="97"/>
      <c r="V80" s="99"/>
    </row>
    <row r="81" spans="1:22" x14ac:dyDescent="0.35">
      <c r="B81" s="47" t="str">
        <f>'6) Year 1 Budget'!B43</f>
        <v>Board Commitmment</v>
      </c>
      <c r="C81" s="113"/>
      <c r="D81" s="97"/>
      <c r="E81" s="115">
        <f>'6) Year 1 Budget'!E43</f>
        <v>20000</v>
      </c>
      <c r="F81" s="87">
        <v>5000</v>
      </c>
      <c r="G81" s="87"/>
      <c r="H81" s="87"/>
      <c r="I81" s="87">
        <v>5000</v>
      </c>
      <c r="J81" s="87"/>
      <c r="K81" s="87"/>
      <c r="L81" s="87"/>
      <c r="M81" s="87">
        <v>5000</v>
      </c>
      <c r="N81" s="87"/>
      <c r="O81" s="87"/>
      <c r="P81" s="87"/>
      <c r="Q81" s="87">
        <v>5000</v>
      </c>
      <c r="R81" s="78">
        <f>SUM(F81:Q81)</f>
        <v>20000</v>
      </c>
      <c r="S81" s="78">
        <f>E81-R81</f>
        <v>0</v>
      </c>
      <c r="T81" s="165" t="s">
        <v>444</v>
      </c>
      <c r="U81" s="97"/>
      <c r="V81" s="99"/>
    </row>
    <row r="82" spans="1:22" x14ac:dyDescent="0.35">
      <c r="B82" s="47" t="str">
        <f>'6) Year 1 Budget'!B44</f>
        <v>Other</v>
      </c>
      <c r="C82" s="113"/>
      <c r="D82" s="97"/>
      <c r="E82" s="115">
        <f>'6) Year 1 Budget'!E44</f>
        <v>0</v>
      </c>
      <c r="F82" s="87">
        <f>$E82/12</f>
        <v>0</v>
      </c>
      <c r="G82" s="87">
        <f t="shared" si="28"/>
        <v>0</v>
      </c>
      <c r="H82" s="87">
        <f t="shared" si="28"/>
        <v>0</v>
      </c>
      <c r="I82" s="87">
        <f t="shared" si="28"/>
        <v>0</v>
      </c>
      <c r="J82" s="87">
        <f t="shared" si="28"/>
        <v>0</v>
      </c>
      <c r="K82" s="87">
        <f t="shared" si="28"/>
        <v>0</v>
      </c>
      <c r="L82" s="87">
        <f t="shared" si="28"/>
        <v>0</v>
      </c>
      <c r="M82" s="87">
        <f t="shared" si="28"/>
        <v>0</v>
      </c>
      <c r="N82" s="87">
        <f t="shared" si="28"/>
        <v>0</v>
      </c>
      <c r="O82" s="87">
        <f t="shared" si="28"/>
        <v>0</v>
      </c>
      <c r="P82" s="87">
        <f t="shared" si="28"/>
        <v>0</v>
      </c>
      <c r="Q82" s="87">
        <f t="shared" si="28"/>
        <v>0</v>
      </c>
      <c r="R82" s="78">
        <f>SUM(F82:Q82)</f>
        <v>0</v>
      </c>
      <c r="S82" s="78">
        <f>E82-R82</f>
        <v>0</v>
      </c>
      <c r="T82" s="165"/>
      <c r="U82" s="97"/>
      <c r="V82" s="99"/>
    </row>
    <row r="83" spans="1:22" s="116" customFormat="1" x14ac:dyDescent="0.35">
      <c r="B83" s="47" t="str">
        <f>'6) Year 1 Budget'!B45</f>
        <v>Other</v>
      </c>
      <c r="C83" s="113"/>
      <c r="D83" s="97"/>
      <c r="E83" s="115">
        <f>'6) Year 1 Budget'!E45</f>
        <v>0</v>
      </c>
      <c r="F83" s="87">
        <f>$E83/12</f>
        <v>0</v>
      </c>
      <c r="G83" s="87">
        <f t="shared" si="28"/>
        <v>0</v>
      </c>
      <c r="H83" s="87">
        <f t="shared" si="28"/>
        <v>0</v>
      </c>
      <c r="I83" s="87">
        <f t="shared" si="28"/>
        <v>0</v>
      </c>
      <c r="J83" s="87">
        <f t="shared" si="28"/>
        <v>0</v>
      </c>
      <c r="K83" s="87">
        <f t="shared" si="28"/>
        <v>0</v>
      </c>
      <c r="L83" s="87">
        <f t="shared" si="28"/>
        <v>0</v>
      </c>
      <c r="M83" s="87">
        <f t="shared" si="28"/>
        <v>0</v>
      </c>
      <c r="N83" s="87">
        <f t="shared" si="28"/>
        <v>0</v>
      </c>
      <c r="O83" s="87">
        <f t="shared" si="28"/>
        <v>0</v>
      </c>
      <c r="P83" s="87">
        <f t="shared" si="28"/>
        <v>0</v>
      </c>
      <c r="Q83" s="87">
        <f t="shared" si="28"/>
        <v>0</v>
      </c>
      <c r="R83" s="78">
        <f>SUM(F83:Q83)</f>
        <v>0</v>
      </c>
      <c r="S83" s="78">
        <f>E83-R83</f>
        <v>0</v>
      </c>
      <c r="T83" s="165"/>
      <c r="U83" s="108"/>
      <c r="V83" s="109"/>
    </row>
    <row r="84" spans="1:22" ht="14.65" customHeight="1" x14ac:dyDescent="0.35">
      <c r="B84" s="47" t="str">
        <f>'6) Year 1 Budget'!B46</f>
        <v>Other</v>
      </c>
      <c r="C84" s="113"/>
      <c r="D84" s="97"/>
      <c r="E84" s="115">
        <f>'6) Year 1 Budget'!E46</f>
        <v>0</v>
      </c>
      <c r="F84" s="87">
        <f>$E84/12</f>
        <v>0</v>
      </c>
      <c r="G84" s="87">
        <f t="shared" si="28"/>
        <v>0</v>
      </c>
      <c r="H84" s="87">
        <f t="shared" si="28"/>
        <v>0</v>
      </c>
      <c r="I84" s="87">
        <f t="shared" si="28"/>
        <v>0</v>
      </c>
      <c r="J84" s="87">
        <f t="shared" si="28"/>
        <v>0</v>
      </c>
      <c r="K84" s="87">
        <f t="shared" si="28"/>
        <v>0</v>
      </c>
      <c r="L84" s="87">
        <f t="shared" si="28"/>
        <v>0</v>
      </c>
      <c r="M84" s="87">
        <f t="shared" si="28"/>
        <v>0</v>
      </c>
      <c r="N84" s="87">
        <f t="shared" si="28"/>
        <v>0</v>
      </c>
      <c r="O84" s="87">
        <f t="shared" si="28"/>
        <v>0</v>
      </c>
      <c r="P84" s="87">
        <f t="shared" si="28"/>
        <v>0</v>
      </c>
      <c r="Q84" s="87">
        <f t="shared" si="28"/>
        <v>0</v>
      </c>
      <c r="R84" s="78">
        <f>SUM(F84:Q84)</f>
        <v>0</v>
      </c>
      <c r="S84" s="78">
        <f>E84-R84</f>
        <v>0</v>
      </c>
      <c r="T84" s="165"/>
      <c r="U84" s="97"/>
      <c r="V84" s="99"/>
    </row>
    <row r="85" spans="1:22" x14ac:dyDescent="0.35">
      <c r="A85" s="101"/>
      <c r="B85" s="47"/>
      <c r="C85" s="105"/>
      <c r="D85" s="61"/>
      <c r="E85" s="40"/>
      <c r="F85" s="40"/>
      <c r="G85" s="40"/>
      <c r="H85" s="40"/>
      <c r="I85" s="40"/>
      <c r="J85" s="40"/>
      <c r="K85" s="40"/>
      <c r="L85" s="40"/>
      <c r="M85" s="40"/>
      <c r="N85" s="40"/>
      <c r="O85" s="40"/>
      <c r="P85" s="40"/>
      <c r="Q85" s="40"/>
      <c r="R85" s="40"/>
      <c r="S85" s="40"/>
      <c r="T85" s="69"/>
      <c r="U85" s="97"/>
      <c r="V85" s="99"/>
    </row>
    <row r="86" spans="1:22" ht="15" thickBot="1" x14ac:dyDescent="0.4">
      <c r="B86" s="217" t="s">
        <v>113</v>
      </c>
      <c r="C86" s="218"/>
      <c r="D86" s="133"/>
      <c r="E86" s="239">
        <f t="shared" ref="E86:S86" si="29">SUM(E56:E60,E62:E70,E73:E77,E80:E84)</f>
        <v>1345960</v>
      </c>
      <c r="F86" s="239">
        <f t="shared" si="29"/>
        <v>206500</v>
      </c>
      <c r="G86" s="239">
        <f t="shared" si="29"/>
        <v>109056</v>
      </c>
      <c r="H86" s="239">
        <f t="shared" si="29"/>
        <v>117156</v>
      </c>
      <c r="I86" s="239">
        <f t="shared" si="29"/>
        <v>114056</v>
      </c>
      <c r="J86" s="239">
        <f t="shared" si="29"/>
        <v>109056</v>
      </c>
      <c r="K86" s="239">
        <f t="shared" si="29"/>
        <v>117156</v>
      </c>
      <c r="L86" s="239">
        <f t="shared" si="29"/>
        <v>109056</v>
      </c>
      <c r="M86" s="239">
        <f t="shared" si="29"/>
        <v>114056</v>
      </c>
      <c r="N86" s="239">
        <f t="shared" si="29"/>
        <v>117156</v>
      </c>
      <c r="O86" s="239">
        <f t="shared" si="29"/>
        <v>109056</v>
      </c>
      <c r="P86" s="239">
        <f t="shared" si="29"/>
        <v>1500</v>
      </c>
      <c r="Q86" s="239">
        <f t="shared" si="29"/>
        <v>122156</v>
      </c>
      <c r="R86" s="239">
        <f t="shared" si="29"/>
        <v>1345960</v>
      </c>
      <c r="S86" s="239">
        <f t="shared" si="29"/>
        <v>0</v>
      </c>
      <c r="T86" s="205"/>
      <c r="U86" s="133"/>
      <c r="V86" s="134"/>
    </row>
    <row r="87" spans="1:22" x14ac:dyDescent="0.35">
      <c r="B87" s="240"/>
      <c r="C87" s="224"/>
      <c r="D87" s="94"/>
      <c r="E87" s="225"/>
      <c r="F87" s="225"/>
      <c r="G87" s="225"/>
      <c r="H87" s="225"/>
      <c r="I87" s="225"/>
      <c r="J87" s="225"/>
      <c r="K87" s="225"/>
      <c r="L87" s="225"/>
      <c r="M87" s="225"/>
      <c r="N87" s="225"/>
      <c r="O87" s="225"/>
      <c r="P87" s="225"/>
      <c r="Q87" s="225"/>
      <c r="R87" s="225"/>
      <c r="S87" s="225"/>
      <c r="T87" s="225"/>
      <c r="U87" s="94"/>
      <c r="V87" s="95"/>
    </row>
    <row r="88" spans="1:22" x14ac:dyDescent="0.35">
      <c r="A88" s="101"/>
      <c r="B88" s="119"/>
      <c r="C88" s="108"/>
      <c r="D88" s="97"/>
      <c r="E88" s="319" t="s">
        <v>155</v>
      </c>
      <c r="F88" s="322"/>
      <c r="G88" s="323"/>
      <c r="H88" s="323"/>
      <c r="I88" s="323"/>
      <c r="J88" s="323"/>
      <c r="K88" s="323"/>
      <c r="L88" s="323"/>
      <c r="M88" s="323"/>
      <c r="N88" s="323"/>
      <c r="O88" s="323"/>
      <c r="P88" s="323"/>
      <c r="Q88" s="323"/>
      <c r="R88" s="323"/>
      <c r="S88" s="323"/>
      <c r="T88" s="118"/>
      <c r="U88" s="97"/>
      <c r="V88" s="99"/>
    </row>
    <row r="89" spans="1:22" x14ac:dyDescent="0.35">
      <c r="A89" s="101"/>
      <c r="B89" s="119"/>
      <c r="C89" s="108"/>
      <c r="D89" s="97"/>
      <c r="E89" s="118"/>
      <c r="F89" s="118"/>
      <c r="G89" s="118"/>
      <c r="H89" s="118"/>
      <c r="I89" s="118"/>
      <c r="J89" s="118"/>
      <c r="K89" s="118"/>
      <c r="L89" s="118"/>
      <c r="M89" s="118"/>
      <c r="N89" s="118"/>
      <c r="O89" s="118"/>
      <c r="P89" s="118"/>
      <c r="Q89" s="118"/>
      <c r="R89" s="118"/>
      <c r="S89" s="118"/>
      <c r="T89" s="118"/>
      <c r="U89" s="97"/>
      <c r="V89" s="99"/>
    </row>
    <row r="90" spans="1:22" x14ac:dyDescent="0.35">
      <c r="A90" s="101"/>
      <c r="B90" s="47"/>
      <c r="C90" s="105"/>
      <c r="D90" s="2"/>
      <c r="E90" s="120" t="str">
        <f>E10</f>
        <v>Year 1</v>
      </c>
      <c r="F90" s="120" t="str">
        <f t="shared" ref="F90:S90" si="30">F10</f>
        <v>Year 1</v>
      </c>
      <c r="G90" s="120" t="str">
        <f t="shared" si="30"/>
        <v>Year 1</v>
      </c>
      <c r="H90" s="120" t="str">
        <f t="shared" si="30"/>
        <v>Year 1</v>
      </c>
      <c r="I90" s="120" t="str">
        <f t="shared" si="30"/>
        <v>Year 1</v>
      </c>
      <c r="J90" s="120" t="str">
        <f t="shared" si="30"/>
        <v>Year 1</v>
      </c>
      <c r="K90" s="120" t="str">
        <f t="shared" si="30"/>
        <v>Year 1</v>
      </c>
      <c r="L90" s="120" t="str">
        <f t="shared" si="30"/>
        <v>Year 1</v>
      </c>
      <c r="M90" s="120" t="str">
        <f t="shared" si="30"/>
        <v>Year 1</v>
      </c>
      <c r="N90" s="120" t="str">
        <f t="shared" si="30"/>
        <v>Year 1</v>
      </c>
      <c r="O90" s="120" t="str">
        <f t="shared" si="30"/>
        <v>Year 1</v>
      </c>
      <c r="P90" s="120" t="str">
        <f t="shared" si="30"/>
        <v>Year 1</v>
      </c>
      <c r="Q90" s="120" t="str">
        <f t="shared" si="30"/>
        <v>Year 1</v>
      </c>
      <c r="R90" s="120" t="str">
        <f t="shared" si="30"/>
        <v>Year 1</v>
      </c>
      <c r="S90" s="120" t="str">
        <f t="shared" si="30"/>
        <v>Year 1</v>
      </c>
      <c r="T90" s="103"/>
      <c r="U90" s="97"/>
      <c r="V90" s="99"/>
    </row>
    <row r="91" spans="1:22" x14ac:dyDescent="0.35">
      <c r="A91" s="101"/>
      <c r="B91" s="47"/>
      <c r="C91" s="105"/>
      <c r="D91" s="61"/>
      <c r="E91" s="121" t="str">
        <f>E11</f>
        <v>2021-22</v>
      </c>
      <c r="F91" s="121" t="str">
        <f t="shared" ref="F91:S91" si="31">F11</f>
        <v>2021-22</v>
      </c>
      <c r="G91" s="121" t="str">
        <f t="shared" si="31"/>
        <v>2021-22</v>
      </c>
      <c r="H91" s="121" t="str">
        <f t="shared" si="31"/>
        <v>2021-22</v>
      </c>
      <c r="I91" s="121" t="str">
        <f t="shared" si="31"/>
        <v>2021-22</v>
      </c>
      <c r="J91" s="121" t="str">
        <f t="shared" si="31"/>
        <v>2021-22</v>
      </c>
      <c r="K91" s="121" t="str">
        <f t="shared" si="31"/>
        <v>2021-22</v>
      </c>
      <c r="L91" s="121" t="str">
        <f t="shared" si="31"/>
        <v>2021-22</v>
      </c>
      <c r="M91" s="121" t="str">
        <f t="shared" si="31"/>
        <v>2021-22</v>
      </c>
      <c r="N91" s="121" t="str">
        <f t="shared" si="31"/>
        <v>2021-22</v>
      </c>
      <c r="O91" s="121" t="str">
        <f t="shared" si="31"/>
        <v>2021-22</v>
      </c>
      <c r="P91" s="121" t="str">
        <f t="shared" si="31"/>
        <v>2021-22</v>
      </c>
      <c r="Q91" s="121" t="str">
        <f t="shared" si="31"/>
        <v>2021-22</v>
      </c>
      <c r="R91" s="121" t="str">
        <f t="shared" si="31"/>
        <v>2021-22</v>
      </c>
      <c r="S91" s="121" t="str">
        <f t="shared" si="31"/>
        <v>2021-22</v>
      </c>
      <c r="T91" s="122"/>
      <c r="U91" s="97"/>
      <c r="V91" s="99"/>
    </row>
    <row r="92" spans="1:22" x14ac:dyDescent="0.35">
      <c r="A92" s="101"/>
      <c r="B92" s="47"/>
      <c r="C92" s="105"/>
      <c r="D92" s="61"/>
      <c r="E92" s="121" t="str">
        <f>E12</f>
        <v>Total Budget</v>
      </c>
      <c r="F92" s="121" t="str">
        <f t="shared" ref="F92:S92" si="32">F12</f>
        <v>July</v>
      </c>
      <c r="G92" s="121" t="str">
        <f t="shared" si="32"/>
        <v>August</v>
      </c>
      <c r="H92" s="121" t="str">
        <f t="shared" si="32"/>
        <v>September</v>
      </c>
      <c r="I92" s="121" t="str">
        <f t="shared" si="32"/>
        <v>October</v>
      </c>
      <c r="J92" s="121" t="str">
        <f t="shared" si="32"/>
        <v>November</v>
      </c>
      <c r="K92" s="121" t="str">
        <f t="shared" si="32"/>
        <v>December</v>
      </c>
      <c r="L92" s="121" t="str">
        <f t="shared" si="32"/>
        <v>January</v>
      </c>
      <c r="M92" s="121" t="str">
        <f t="shared" si="32"/>
        <v>February</v>
      </c>
      <c r="N92" s="121" t="str">
        <f t="shared" si="32"/>
        <v>March</v>
      </c>
      <c r="O92" s="121" t="str">
        <f t="shared" si="32"/>
        <v>April</v>
      </c>
      <c r="P92" s="121" t="str">
        <f t="shared" si="32"/>
        <v>May</v>
      </c>
      <c r="Q92" s="121" t="str">
        <f t="shared" si="32"/>
        <v>June</v>
      </c>
      <c r="R92" s="121" t="str">
        <f t="shared" si="32"/>
        <v>Total</v>
      </c>
      <c r="S92" s="121" t="str">
        <f t="shared" si="32"/>
        <v>AR/AP</v>
      </c>
      <c r="T92" s="122"/>
      <c r="U92" s="97"/>
      <c r="V92" s="99"/>
    </row>
    <row r="93" spans="1:22" x14ac:dyDescent="0.35">
      <c r="A93" s="101"/>
      <c r="B93" s="47"/>
      <c r="C93" s="105"/>
      <c r="D93" s="61"/>
      <c r="E93" s="122"/>
      <c r="F93" s="122"/>
      <c r="G93" s="122"/>
      <c r="H93" s="122"/>
      <c r="I93" s="122"/>
      <c r="J93" s="122"/>
      <c r="K93" s="122"/>
      <c r="L93" s="122"/>
      <c r="M93" s="122"/>
      <c r="N93" s="122"/>
      <c r="O93" s="122"/>
      <c r="P93" s="122"/>
      <c r="Q93" s="122"/>
      <c r="R93" s="122"/>
      <c r="S93" s="122"/>
      <c r="T93" s="122"/>
      <c r="U93" s="97"/>
      <c r="V93" s="99"/>
    </row>
    <row r="94" spans="1:22" x14ac:dyDescent="0.35">
      <c r="A94" s="101"/>
      <c r="B94" s="123" t="s">
        <v>155</v>
      </c>
      <c r="C94" s="84"/>
      <c r="D94" s="61"/>
      <c r="E94" s="110"/>
      <c r="F94" s="68"/>
      <c r="G94" s="68"/>
      <c r="H94" s="68"/>
      <c r="I94" s="68"/>
      <c r="J94" s="68"/>
      <c r="K94" s="68"/>
      <c r="L94" s="68"/>
      <c r="M94" s="68"/>
      <c r="N94" s="68"/>
      <c r="O94" s="68"/>
      <c r="P94" s="68"/>
      <c r="Q94" s="68"/>
      <c r="R94" s="68"/>
      <c r="S94" s="68"/>
      <c r="T94" s="63" t="s">
        <v>133</v>
      </c>
      <c r="U94" s="97"/>
      <c r="V94" s="99"/>
    </row>
    <row r="95" spans="1:22" x14ac:dyDescent="0.35">
      <c r="A95" s="101"/>
      <c r="B95" s="124" t="str">
        <f>'5) Year 1-5 Staff Assumptions'!B51</f>
        <v>Principal/School Leader</v>
      </c>
      <c r="C95" s="125"/>
      <c r="D95" s="61"/>
      <c r="E95" s="115">
        <f>'6) Year 1 Budget'!E57</f>
        <v>95000</v>
      </c>
      <c r="F95" s="87">
        <f>$E95/12</f>
        <v>7916.666666666667</v>
      </c>
      <c r="G95" s="87">
        <f t="shared" ref="G95:Q99" si="33">$E95/12</f>
        <v>7916.666666666667</v>
      </c>
      <c r="H95" s="87">
        <f t="shared" si="33"/>
        <v>7916.666666666667</v>
      </c>
      <c r="I95" s="87">
        <f t="shared" si="33"/>
        <v>7916.666666666667</v>
      </c>
      <c r="J95" s="87">
        <f t="shared" si="33"/>
        <v>7916.666666666667</v>
      </c>
      <c r="K95" s="87">
        <f t="shared" si="33"/>
        <v>7916.666666666667</v>
      </c>
      <c r="L95" s="87">
        <f t="shared" si="33"/>
        <v>7916.666666666667</v>
      </c>
      <c r="M95" s="87">
        <f t="shared" si="33"/>
        <v>7916.666666666667</v>
      </c>
      <c r="N95" s="87">
        <f t="shared" si="33"/>
        <v>7916.666666666667</v>
      </c>
      <c r="O95" s="87">
        <f t="shared" si="33"/>
        <v>7916.666666666667</v>
      </c>
      <c r="P95" s="87">
        <f t="shared" si="33"/>
        <v>7916.666666666667</v>
      </c>
      <c r="Q95" s="87">
        <f t="shared" si="33"/>
        <v>7916.666666666667</v>
      </c>
      <c r="R95" s="78">
        <f>SUM(F95:Q95)</f>
        <v>95000.000000000015</v>
      </c>
      <c r="S95" s="78">
        <f>E95-R95</f>
        <v>0</v>
      </c>
      <c r="T95" s="165" t="s">
        <v>351</v>
      </c>
      <c r="U95" s="97"/>
      <c r="V95" s="99"/>
    </row>
    <row r="96" spans="1:22" x14ac:dyDescent="0.35">
      <c r="A96" s="101"/>
      <c r="B96" s="124" t="str">
        <f>'5) Year 1-5 Staff Assumptions'!B52</f>
        <v>Assistant Principal</v>
      </c>
      <c r="C96" s="125"/>
      <c r="D96" s="97"/>
      <c r="E96" s="115">
        <f>'6) Year 1 Budget'!E58</f>
        <v>0</v>
      </c>
      <c r="F96" s="87">
        <f>$E96/12</f>
        <v>0</v>
      </c>
      <c r="G96" s="87">
        <f t="shared" si="33"/>
        <v>0</v>
      </c>
      <c r="H96" s="87">
        <f t="shared" si="33"/>
        <v>0</v>
      </c>
      <c r="I96" s="87">
        <f t="shared" si="33"/>
        <v>0</v>
      </c>
      <c r="J96" s="87">
        <f t="shared" si="33"/>
        <v>0</v>
      </c>
      <c r="K96" s="87">
        <f t="shared" si="33"/>
        <v>0</v>
      </c>
      <c r="L96" s="87">
        <f t="shared" si="33"/>
        <v>0</v>
      </c>
      <c r="M96" s="87">
        <f t="shared" si="33"/>
        <v>0</v>
      </c>
      <c r="N96" s="87">
        <f t="shared" si="33"/>
        <v>0</v>
      </c>
      <c r="O96" s="87">
        <f t="shared" si="33"/>
        <v>0</v>
      </c>
      <c r="P96" s="87">
        <f t="shared" si="33"/>
        <v>0</v>
      </c>
      <c r="Q96" s="87">
        <f t="shared" si="33"/>
        <v>0</v>
      </c>
      <c r="R96" s="78">
        <f>SUM(F96:Q96)</f>
        <v>0</v>
      </c>
      <c r="S96" s="78">
        <f>E96-R96</f>
        <v>0</v>
      </c>
      <c r="T96" s="165"/>
      <c r="U96" s="97"/>
      <c r="V96" s="99"/>
    </row>
    <row r="97" spans="1:22" x14ac:dyDescent="0.35">
      <c r="A97" s="101"/>
      <c r="B97" s="124" t="str">
        <f>'5) Year 1-5 Staff Assumptions'!B53</f>
        <v>Special Education Coordinator</v>
      </c>
      <c r="C97" s="125"/>
      <c r="D97" s="97"/>
      <c r="E97" s="115">
        <f>'6) Year 1 Budget'!E59</f>
        <v>0</v>
      </c>
      <c r="F97" s="87">
        <f>$E97/12</f>
        <v>0</v>
      </c>
      <c r="G97" s="87">
        <f t="shared" si="33"/>
        <v>0</v>
      </c>
      <c r="H97" s="87">
        <f t="shared" si="33"/>
        <v>0</v>
      </c>
      <c r="I97" s="87">
        <f t="shared" si="33"/>
        <v>0</v>
      </c>
      <c r="J97" s="87">
        <f t="shared" si="33"/>
        <v>0</v>
      </c>
      <c r="K97" s="87">
        <f t="shared" si="33"/>
        <v>0</v>
      </c>
      <c r="L97" s="87">
        <f t="shared" si="33"/>
        <v>0</v>
      </c>
      <c r="M97" s="87">
        <f t="shared" si="33"/>
        <v>0</v>
      </c>
      <c r="N97" s="87">
        <f t="shared" si="33"/>
        <v>0</v>
      </c>
      <c r="O97" s="87">
        <f t="shared" si="33"/>
        <v>0</v>
      </c>
      <c r="P97" s="87">
        <f t="shared" si="33"/>
        <v>0</v>
      </c>
      <c r="Q97" s="87">
        <f t="shared" si="33"/>
        <v>0</v>
      </c>
      <c r="R97" s="78">
        <f>SUM(F97:Q97)</f>
        <v>0</v>
      </c>
      <c r="S97" s="78">
        <f>E97-R97</f>
        <v>0</v>
      </c>
      <c r="T97" s="165"/>
      <c r="U97" s="97"/>
      <c r="V97" s="99"/>
    </row>
    <row r="98" spans="1:22" x14ac:dyDescent="0.35">
      <c r="A98" s="101"/>
      <c r="B98" s="124" t="str">
        <f>'5) Year 1-5 Staff Assumptions'!B54</f>
        <v>Deans, Directors</v>
      </c>
      <c r="C98" s="125"/>
      <c r="D98" s="97"/>
      <c r="E98" s="115">
        <f>'6) Year 1 Budget'!E60</f>
        <v>60000</v>
      </c>
      <c r="F98" s="87">
        <f>$E98/12</f>
        <v>5000</v>
      </c>
      <c r="G98" s="87">
        <f t="shared" si="33"/>
        <v>5000</v>
      </c>
      <c r="H98" s="87">
        <f t="shared" si="33"/>
        <v>5000</v>
      </c>
      <c r="I98" s="87">
        <f t="shared" si="33"/>
        <v>5000</v>
      </c>
      <c r="J98" s="87">
        <f t="shared" si="33"/>
        <v>5000</v>
      </c>
      <c r="K98" s="87">
        <f t="shared" si="33"/>
        <v>5000</v>
      </c>
      <c r="L98" s="87">
        <f t="shared" si="33"/>
        <v>5000</v>
      </c>
      <c r="M98" s="87">
        <f t="shared" si="33"/>
        <v>5000</v>
      </c>
      <c r="N98" s="87">
        <f t="shared" si="33"/>
        <v>5000</v>
      </c>
      <c r="O98" s="87">
        <f t="shared" si="33"/>
        <v>5000</v>
      </c>
      <c r="P98" s="87">
        <f t="shared" si="33"/>
        <v>5000</v>
      </c>
      <c r="Q98" s="87">
        <f t="shared" si="33"/>
        <v>5000</v>
      </c>
      <c r="R98" s="78">
        <f>SUM(F98:Q98)</f>
        <v>60000</v>
      </c>
      <c r="S98" s="78">
        <f>E98-R98</f>
        <v>0</v>
      </c>
      <c r="T98" s="165" t="s">
        <v>352</v>
      </c>
      <c r="U98" s="97"/>
      <c r="V98" s="99"/>
    </row>
    <row r="99" spans="1:22" x14ac:dyDescent="0.35">
      <c r="A99" s="101"/>
      <c r="B99" s="124" t="str">
        <f>'5) Year 1-5 Staff Assumptions'!B55</f>
        <v>Other (Specify in Assumptions)</v>
      </c>
      <c r="C99" s="125"/>
      <c r="D99" s="97"/>
      <c r="E99" s="115">
        <f>'6) Year 1 Budget'!E61</f>
        <v>0</v>
      </c>
      <c r="F99" s="87">
        <f>$E99/12</f>
        <v>0</v>
      </c>
      <c r="G99" s="87">
        <f t="shared" si="33"/>
        <v>0</v>
      </c>
      <c r="H99" s="87">
        <f t="shared" si="33"/>
        <v>0</v>
      </c>
      <c r="I99" s="87">
        <f t="shared" si="33"/>
        <v>0</v>
      </c>
      <c r="J99" s="87">
        <f t="shared" si="33"/>
        <v>0</v>
      </c>
      <c r="K99" s="87">
        <f t="shared" si="33"/>
        <v>0</v>
      </c>
      <c r="L99" s="87">
        <f t="shared" si="33"/>
        <v>0</v>
      </c>
      <c r="M99" s="87">
        <f t="shared" si="33"/>
        <v>0</v>
      </c>
      <c r="N99" s="87">
        <f t="shared" si="33"/>
        <v>0</v>
      </c>
      <c r="O99" s="87">
        <f t="shared" si="33"/>
        <v>0</v>
      </c>
      <c r="P99" s="87">
        <f t="shared" si="33"/>
        <v>0</v>
      </c>
      <c r="Q99" s="87">
        <f t="shared" si="33"/>
        <v>0</v>
      </c>
      <c r="R99" s="78">
        <f>SUM(F99:Q99)</f>
        <v>0</v>
      </c>
      <c r="S99" s="78">
        <f>E99-R99</f>
        <v>0</v>
      </c>
      <c r="T99" s="165"/>
      <c r="U99" s="97"/>
      <c r="V99" s="99"/>
    </row>
    <row r="100" spans="1:22" x14ac:dyDescent="0.35">
      <c r="A100" s="101"/>
      <c r="B100" s="123" t="str">
        <f>'5) Year 1-5 Staff Assumptions'!B56</f>
        <v>Total Administrative Compensation</v>
      </c>
      <c r="C100" s="126"/>
      <c r="D100" s="127"/>
      <c r="E100" s="80">
        <f>'6) Year 1 Budget'!E62</f>
        <v>155000</v>
      </c>
      <c r="F100" s="135">
        <f>SUM(F95:F99)</f>
        <v>12916.666666666668</v>
      </c>
      <c r="G100" s="135">
        <f t="shared" ref="G100:S100" si="34">SUM(G95:G99)</f>
        <v>12916.666666666668</v>
      </c>
      <c r="H100" s="135">
        <f t="shared" si="34"/>
        <v>12916.666666666668</v>
      </c>
      <c r="I100" s="135">
        <f t="shared" si="34"/>
        <v>12916.666666666668</v>
      </c>
      <c r="J100" s="135">
        <f t="shared" si="34"/>
        <v>12916.666666666668</v>
      </c>
      <c r="K100" s="135">
        <f t="shared" si="34"/>
        <v>12916.666666666668</v>
      </c>
      <c r="L100" s="135">
        <f t="shared" si="34"/>
        <v>12916.666666666668</v>
      </c>
      <c r="M100" s="135">
        <f t="shared" si="34"/>
        <v>12916.666666666668</v>
      </c>
      <c r="N100" s="135">
        <f t="shared" si="34"/>
        <v>12916.666666666668</v>
      </c>
      <c r="O100" s="135">
        <f t="shared" si="34"/>
        <v>12916.666666666668</v>
      </c>
      <c r="P100" s="135">
        <f t="shared" si="34"/>
        <v>12916.666666666668</v>
      </c>
      <c r="Q100" s="135">
        <f t="shared" si="34"/>
        <v>12916.666666666668</v>
      </c>
      <c r="R100" s="135">
        <f t="shared" si="34"/>
        <v>155000</v>
      </c>
      <c r="S100" s="135">
        <f t="shared" si="34"/>
        <v>0</v>
      </c>
      <c r="T100" s="258"/>
      <c r="U100" s="97"/>
      <c r="V100" s="99"/>
    </row>
    <row r="101" spans="1:22" x14ac:dyDescent="0.35">
      <c r="A101" s="101"/>
      <c r="B101" s="124"/>
      <c r="C101" s="125"/>
      <c r="D101" s="97"/>
      <c r="E101" s="110"/>
      <c r="F101" s="136"/>
      <c r="G101" s="136"/>
      <c r="H101" s="136"/>
      <c r="I101" s="136"/>
      <c r="J101" s="136"/>
      <c r="K101" s="136"/>
      <c r="L101" s="136"/>
      <c r="M101" s="136"/>
      <c r="N101" s="136"/>
      <c r="O101" s="136"/>
      <c r="P101" s="136"/>
      <c r="Q101" s="136"/>
      <c r="R101" s="110"/>
      <c r="S101" s="110"/>
      <c r="T101" s="174"/>
      <c r="U101" s="97"/>
      <c r="V101" s="99"/>
    </row>
    <row r="102" spans="1:22" x14ac:dyDescent="0.35">
      <c r="A102" s="101"/>
      <c r="B102" s="124" t="str">
        <f>'5) Year 1-5 Staff Assumptions'!B58</f>
        <v>Instructional Staff</v>
      </c>
      <c r="C102" s="125"/>
      <c r="D102" s="128"/>
      <c r="E102" s="128"/>
      <c r="F102" s="137"/>
      <c r="G102" s="137"/>
      <c r="H102" s="137"/>
      <c r="I102" s="137"/>
      <c r="J102" s="137"/>
      <c r="K102" s="137"/>
      <c r="L102" s="137"/>
      <c r="M102" s="137"/>
      <c r="N102" s="137"/>
      <c r="O102" s="137"/>
      <c r="P102" s="137"/>
      <c r="Q102" s="137"/>
      <c r="R102" s="128"/>
      <c r="S102" s="128"/>
      <c r="T102" s="259"/>
      <c r="U102" s="97"/>
      <c r="V102" s="99"/>
    </row>
    <row r="103" spans="1:22" x14ac:dyDescent="0.35">
      <c r="A103" s="101"/>
      <c r="B103" s="124" t="str">
        <f>'5) Year 1-5 Staff Assumptions'!B59</f>
        <v>Teachers</v>
      </c>
      <c r="C103" s="125"/>
      <c r="D103" s="97"/>
      <c r="E103" s="115">
        <f>'6) Year 1 Budget'!E65</f>
        <v>322000</v>
      </c>
      <c r="F103" s="87">
        <f>$E103/12</f>
        <v>26833.333333333332</v>
      </c>
      <c r="G103" s="87">
        <f t="shared" ref="G103:Q107" si="35">$E103/12</f>
        <v>26833.333333333332</v>
      </c>
      <c r="H103" s="87">
        <f t="shared" si="35"/>
        <v>26833.333333333332</v>
      </c>
      <c r="I103" s="87">
        <f t="shared" si="35"/>
        <v>26833.333333333332</v>
      </c>
      <c r="J103" s="87">
        <f t="shared" si="35"/>
        <v>26833.333333333332</v>
      </c>
      <c r="K103" s="87">
        <f t="shared" si="35"/>
        <v>26833.333333333332</v>
      </c>
      <c r="L103" s="87">
        <f t="shared" si="35"/>
        <v>26833.333333333332</v>
      </c>
      <c r="M103" s="87">
        <f t="shared" si="35"/>
        <v>26833.333333333332</v>
      </c>
      <c r="N103" s="87">
        <f t="shared" si="35"/>
        <v>26833.333333333332</v>
      </c>
      <c r="O103" s="87">
        <f t="shared" si="35"/>
        <v>26833.333333333332</v>
      </c>
      <c r="P103" s="87">
        <f t="shared" si="35"/>
        <v>26833.333333333332</v>
      </c>
      <c r="Q103" s="87">
        <f t="shared" si="35"/>
        <v>26833.333333333332</v>
      </c>
      <c r="R103" s="78">
        <f>SUM(F103:Q103)</f>
        <v>322000</v>
      </c>
      <c r="S103" s="78">
        <f>E103-R103</f>
        <v>0</v>
      </c>
      <c r="T103" s="165" t="s">
        <v>353</v>
      </c>
      <c r="U103" s="97"/>
      <c r="V103" s="99"/>
    </row>
    <row r="104" spans="1:22" x14ac:dyDescent="0.35">
      <c r="A104" s="101"/>
      <c r="B104" s="124" t="str">
        <f>'5) Year 1-5 Staff Assumptions'!B60</f>
        <v>Special Education Teachers</v>
      </c>
      <c r="C104" s="125"/>
      <c r="D104" s="97"/>
      <c r="E104" s="115">
        <f>'6) Year 1 Budget'!E66</f>
        <v>50000</v>
      </c>
      <c r="F104" s="87">
        <f>$E104/12</f>
        <v>4166.666666666667</v>
      </c>
      <c r="G104" s="87">
        <f t="shared" si="35"/>
        <v>4166.666666666667</v>
      </c>
      <c r="H104" s="87">
        <f t="shared" si="35"/>
        <v>4166.666666666667</v>
      </c>
      <c r="I104" s="87">
        <f t="shared" si="35"/>
        <v>4166.666666666667</v>
      </c>
      <c r="J104" s="87">
        <f t="shared" si="35"/>
        <v>4166.666666666667</v>
      </c>
      <c r="K104" s="87">
        <f t="shared" si="35"/>
        <v>4166.666666666667</v>
      </c>
      <c r="L104" s="87">
        <f t="shared" si="35"/>
        <v>4166.666666666667</v>
      </c>
      <c r="M104" s="87">
        <f t="shared" si="35"/>
        <v>4166.666666666667</v>
      </c>
      <c r="N104" s="87">
        <f t="shared" si="35"/>
        <v>4166.666666666667</v>
      </c>
      <c r="O104" s="87">
        <f t="shared" si="35"/>
        <v>4166.666666666667</v>
      </c>
      <c r="P104" s="87">
        <f t="shared" si="35"/>
        <v>4166.666666666667</v>
      </c>
      <c r="Q104" s="87">
        <f t="shared" si="35"/>
        <v>4166.666666666667</v>
      </c>
      <c r="R104" s="78">
        <f>SUM(F104:Q104)</f>
        <v>49999.999999999993</v>
      </c>
      <c r="S104" s="78">
        <f>E104-R104</f>
        <v>0</v>
      </c>
      <c r="T104" s="165" t="s">
        <v>445</v>
      </c>
      <c r="U104" s="97"/>
      <c r="V104" s="99"/>
    </row>
    <row r="105" spans="1:22" x14ac:dyDescent="0.35">
      <c r="A105" s="101"/>
      <c r="B105" s="124" t="str">
        <f>'5) Year 1-5 Staff Assumptions'!B61</f>
        <v>Eduacational Assistants/Aides</v>
      </c>
      <c r="C105" s="125"/>
      <c r="D105" s="97"/>
      <c r="E105" s="115">
        <f>'6) Year 1 Budget'!E67</f>
        <v>0</v>
      </c>
      <c r="F105" s="87">
        <f>$E105/12</f>
        <v>0</v>
      </c>
      <c r="G105" s="87">
        <f t="shared" si="35"/>
        <v>0</v>
      </c>
      <c r="H105" s="87">
        <f t="shared" si="35"/>
        <v>0</v>
      </c>
      <c r="I105" s="87">
        <f t="shared" si="35"/>
        <v>0</v>
      </c>
      <c r="J105" s="87">
        <f t="shared" si="35"/>
        <v>0</v>
      </c>
      <c r="K105" s="87">
        <f t="shared" si="35"/>
        <v>0</v>
      </c>
      <c r="L105" s="87">
        <f t="shared" si="35"/>
        <v>0</v>
      </c>
      <c r="M105" s="87">
        <f t="shared" si="35"/>
        <v>0</v>
      </c>
      <c r="N105" s="87">
        <f t="shared" si="35"/>
        <v>0</v>
      </c>
      <c r="O105" s="87">
        <f t="shared" si="35"/>
        <v>0</v>
      </c>
      <c r="P105" s="87">
        <f t="shared" si="35"/>
        <v>0</v>
      </c>
      <c r="Q105" s="87">
        <f t="shared" si="35"/>
        <v>0</v>
      </c>
      <c r="R105" s="78">
        <f>SUM(F105:Q105)</f>
        <v>0</v>
      </c>
      <c r="S105" s="78">
        <f>E105-R105</f>
        <v>0</v>
      </c>
      <c r="T105" s="165"/>
      <c r="U105" s="97"/>
      <c r="V105" s="99"/>
    </row>
    <row r="106" spans="1:22" x14ac:dyDescent="0.35">
      <c r="A106" s="101"/>
      <c r="B106" s="124" t="str">
        <f>'5) Year 1-5 Staff Assumptions'!B62</f>
        <v>Elective Teachers</v>
      </c>
      <c r="C106" s="125"/>
      <c r="D106" s="97"/>
      <c r="E106" s="115">
        <f>'6) Year 1 Budget'!E68</f>
        <v>35000</v>
      </c>
      <c r="F106" s="87">
        <f>$E106/12</f>
        <v>2916.6666666666665</v>
      </c>
      <c r="G106" s="87">
        <f t="shared" si="35"/>
        <v>2916.6666666666665</v>
      </c>
      <c r="H106" s="87">
        <f t="shared" si="35"/>
        <v>2916.6666666666665</v>
      </c>
      <c r="I106" s="87">
        <f t="shared" si="35"/>
        <v>2916.6666666666665</v>
      </c>
      <c r="J106" s="87">
        <f t="shared" si="35"/>
        <v>2916.6666666666665</v>
      </c>
      <c r="K106" s="87">
        <f t="shared" si="35"/>
        <v>2916.6666666666665</v>
      </c>
      <c r="L106" s="87">
        <f t="shared" si="35"/>
        <v>2916.6666666666665</v>
      </c>
      <c r="M106" s="87">
        <f t="shared" si="35"/>
        <v>2916.6666666666665</v>
      </c>
      <c r="N106" s="87">
        <f t="shared" si="35"/>
        <v>2916.6666666666665</v>
      </c>
      <c r="O106" s="87">
        <f t="shared" si="35"/>
        <v>2916.6666666666665</v>
      </c>
      <c r="P106" s="87">
        <f t="shared" si="35"/>
        <v>2916.6666666666665</v>
      </c>
      <c r="Q106" s="87">
        <f t="shared" si="35"/>
        <v>2916.6666666666665</v>
      </c>
      <c r="R106" s="78">
        <f>SUM(F106:Q106)</f>
        <v>35000.000000000007</v>
      </c>
      <c r="S106" s="78">
        <f>E106-R106</f>
        <v>0</v>
      </c>
      <c r="T106" s="165" t="s">
        <v>446</v>
      </c>
      <c r="U106" s="97"/>
      <c r="V106" s="99"/>
    </row>
    <row r="107" spans="1:22" x14ac:dyDescent="0.35">
      <c r="A107" s="101"/>
      <c r="B107" s="124" t="str">
        <f>'5) Year 1-5 Staff Assumptions'!B63</f>
        <v>Other (Specify in Assumptions)</v>
      </c>
      <c r="C107" s="125"/>
      <c r="D107" s="97"/>
      <c r="E107" s="115">
        <f>'6) Year 1 Budget'!E69</f>
        <v>0</v>
      </c>
      <c r="F107" s="87">
        <f>$E107/12</f>
        <v>0</v>
      </c>
      <c r="G107" s="87">
        <f t="shared" si="35"/>
        <v>0</v>
      </c>
      <c r="H107" s="87">
        <f t="shared" si="35"/>
        <v>0</v>
      </c>
      <c r="I107" s="87">
        <f t="shared" si="35"/>
        <v>0</v>
      </c>
      <c r="J107" s="87">
        <f t="shared" si="35"/>
        <v>0</v>
      </c>
      <c r="K107" s="87">
        <f t="shared" si="35"/>
        <v>0</v>
      </c>
      <c r="L107" s="87">
        <f t="shared" si="35"/>
        <v>0</v>
      </c>
      <c r="M107" s="87">
        <f t="shared" si="35"/>
        <v>0</v>
      </c>
      <c r="N107" s="87">
        <f t="shared" si="35"/>
        <v>0</v>
      </c>
      <c r="O107" s="87">
        <f t="shared" si="35"/>
        <v>0</v>
      </c>
      <c r="P107" s="87">
        <f t="shared" si="35"/>
        <v>0</v>
      </c>
      <c r="Q107" s="87">
        <f t="shared" si="35"/>
        <v>0</v>
      </c>
      <c r="R107" s="78">
        <f>SUM(F107:Q107)</f>
        <v>0</v>
      </c>
      <c r="S107" s="78">
        <f>E107-R107</f>
        <v>0</v>
      </c>
      <c r="T107" s="165"/>
      <c r="U107" s="97"/>
      <c r="V107" s="99"/>
    </row>
    <row r="108" spans="1:22" x14ac:dyDescent="0.35">
      <c r="A108" s="101"/>
      <c r="B108" s="123" t="str">
        <f>'5) Year 1-5 Staff Assumptions'!B64</f>
        <v>Total Instructional Compensation</v>
      </c>
      <c r="C108" s="126"/>
      <c r="D108" s="127"/>
      <c r="E108" s="80">
        <f>'6) Year 1 Budget'!E70</f>
        <v>407000</v>
      </c>
      <c r="F108" s="135">
        <f>SUM(F103:F107)</f>
        <v>33916.666666666664</v>
      </c>
      <c r="G108" s="135">
        <f t="shared" ref="G108:S108" si="36">SUM(G103:G107)</f>
        <v>33916.666666666664</v>
      </c>
      <c r="H108" s="135">
        <f t="shared" si="36"/>
        <v>33916.666666666664</v>
      </c>
      <c r="I108" s="135">
        <f t="shared" si="36"/>
        <v>33916.666666666664</v>
      </c>
      <c r="J108" s="135">
        <f t="shared" si="36"/>
        <v>33916.666666666664</v>
      </c>
      <c r="K108" s="135">
        <f t="shared" si="36"/>
        <v>33916.666666666664</v>
      </c>
      <c r="L108" s="135">
        <f t="shared" si="36"/>
        <v>33916.666666666664</v>
      </c>
      <c r="M108" s="135">
        <f t="shared" si="36"/>
        <v>33916.666666666664</v>
      </c>
      <c r="N108" s="135">
        <f t="shared" si="36"/>
        <v>33916.666666666664</v>
      </c>
      <c r="O108" s="135">
        <f t="shared" si="36"/>
        <v>33916.666666666664</v>
      </c>
      <c r="P108" s="135">
        <f t="shared" si="36"/>
        <v>33916.666666666664</v>
      </c>
      <c r="Q108" s="135">
        <f t="shared" si="36"/>
        <v>33916.666666666664</v>
      </c>
      <c r="R108" s="135">
        <f t="shared" si="36"/>
        <v>407000</v>
      </c>
      <c r="S108" s="135">
        <f t="shared" si="36"/>
        <v>0</v>
      </c>
      <c r="T108" s="258"/>
      <c r="U108" s="97"/>
      <c r="V108" s="99"/>
    </row>
    <row r="109" spans="1:22" x14ac:dyDescent="0.35">
      <c r="A109" s="101"/>
      <c r="B109" s="124"/>
      <c r="C109" s="125"/>
      <c r="D109" s="108"/>
      <c r="E109" s="110"/>
      <c r="F109" s="136"/>
      <c r="G109" s="136"/>
      <c r="H109" s="136"/>
      <c r="I109" s="136"/>
      <c r="J109" s="136"/>
      <c r="K109" s="136"/>
      <c r="L109" s="136"/>
      <c r="M109" s="136"/>
      <c r="N109" s="136"/>
      <c r="O109" s="136"/>
      <c r="P109" s="136"/>
      <c r="Q109" s="136"/>
      <c r="R109" s="110"/>
      <c r="S109" s="110"/>
      <c r="T109" s="174"/>
      <c r="U109" s="97"/>
      <c r="V109" s="99"/>
    </row>
    <row r="110" spans="1:22" x14ac:dyDescent="0.35">
      <c r="A110" s="101"/>
      <c r="B110" s="124" t="str">
        <f>'5) Year 1-5 Staff Assumptions'!B66</f>
        <v>Non-Instructional Staff</v>
      </c>
      <c r="C110" s="125"/>
      <c r="D110" s="128"/>
      <c r="E110" s="128"/>
      <c r="F110" s="137"/>
      <c r="G110" s="137"/>
      <c r="H110" s="137"/>
      <c r="I110" s="137"/>
      <c r="J110" s="137"/>
      <c r="K110" s="137"/>
      <c r="L110" s="137"/>
      <c r="M110" s="137"/>
      <c r="N110" s="137"/>
      <c r="O110" s="137"/>
      <c r="P110" s="137"/>
      <c r="Q110" s="137"/>
      <c r="R110" s="128"/>
      <c r="S110" s="128"/>
      <c r="T110" s="259"/>
      <c r="U110" s="97"/>
      <c r="V110" s="99"/>
    </row>
    <row r="111" spans="1:22" x14ac:dyDescent="0.35">
      <c r="A111" s="101"/>
      <c r="B111" s="124" t="str">
        <f>'5) Year 1-5 Staff Assumptions'!B67</f>
        <v>Clerical Staff</v>
      </c>
      <c r="C111" s="125"/>
      <c r="D111" s="61"/>
      <c r="E111" s="115">
        <f>'6) Year 1 Budget'!E73</f>
        <v>32000</v>
      </c>
      <c r="F111" s="87">
        <f>$E111/12</f>
        <v>2666.6666666666665</v>
      </c>
      <c r="G111" s="87">
        <f t="shared" ref="G111:Q115" si="37">$E111/12</f>
        <v>2666.6666666666665</v>
      </c>
      <c r="H111" s="87">
        <f t="shared" si="37"/>
        <v>2666.6666666666665</v>
      </c>
      <c r="I111" s="87">
        <f t="shared" si="37"/>
        <v>2666.6666666666665</v>
      </c>
      <c r="J111" s="87">
        <f t="shared" si="37"/>
        <v>2666.6666666666665</v>
      </c>
      <c r="K111" s="87">
        <f t="shared" si="37"/>
        <v>2666.6666666666665</v>
      </c>
      <c r="L111" s="87">
        <f t="shared" si="37"/>
        <v>2666.6666666666665</v>
      </c>
      <c r="M111" s="87">
        <f t="shared" si="37"/>
        <v>2666.6666666666665</v>
      </c>
      <c r="N111" s="87">
        <f t="shared" si="37"/>
        <v>2666.6666666666665</v>
      </c>
      <c r="O111" s="87">
        <f t="shared" si="37"/>
        <v>2666.6666666666665</v>
      </c>
      <c r="P111" s="87">
        <f t="shared" si="37"/>
        <v>2666.6666666666665</v>
      </c>
      <c r="Q111" s="87">
        <f t="shared" si="37"/>
        <v>2666.6666666666665</v>
      </c>
      <c r="R111" s="78">
        <f>SUM(F111:Q111)</f>
        <v>32000.000000000004</v>
      </c>
      <c r="S111" s="78">
        <f>E111-R111</f>
        <v>0</v>
      </c>
      <c r="T111" s="165" t="s">
        <v>447</v>
      </c>
      <c r="U111" s="97"/>
      <c r="V111" s="99"/>
    </row>
    <row r="112" spans="1:22" x14ac:dyDescent="0.35">
      <c r="A112" s="101"/>
      <c r="B112" s="124" t="str">
        <f>'5) Year 1-5 Staff Assumptions'!B68</f>
        <v>Custodial Staff</v>
      </c>
      <c r="C112" s="125"/>
      <c r="D112" s="61"/>
      <c r="E112" s="115">
        <f>'6) Year 1 Budget'!E74</f>
        <v>0</v>
      </c>
      <c r="F112" s="87">
        <f>$E112/12</f>
        <v>0</v>
      </c>
      <c r="G112" s="87">
        <f t="shared" si="37"/>
        <v>0</v>
      </c>
      <c r="H112" s="87">
        <f t="shared" si="37"/>
        <v>0</v>
      </c>
      <c r="I112" s="87">
        <f t="shared" si="37"/>
        <v>0</v>
      </c>
      <c r="J112" s="87">
        <f t="shared" si="37"/>
        <v>0</v>
      </c>
      <c r="K112" s="87">
        <f t="shared" si="37"/>
        <v>0</v>
      </c>
      <c r="L112" s="87">
        <f t="shared" si="37"/>
        <v>0</v>
      </c>
      <c r="M112" s="87">
        <f t="shared" si="37"/>
        <v>0</v>
      </c>
      <c r="N112" s="87">
        <f t="shared" si="37"/>
        <v>0</v>
      </c>
      <c r="O112" s="87">
        <f t="shared" si="37"/>
        <v>0</v>
      </c>
      <c r="P112" s="87">
        <f t="shared" si="37"/>
        <v>0</v>
      </c>
      <c r="Q112" s="87">
        <f t="shared" si="37"/>
        <v>0</v>
      </c>
      <c r="R112" s="78">
        <f>SUM(F112:Q112)</f>
        <v>0</v>
      </c>
      <c r="S112" s="78">
        <f>E112-R112</f>
        <v>0</v>
      </c>
      <c r="T112" s="165"/>
      <c r="U112" s="97"/>
      <c r="V112" s="99"/>
    </row>
    <row r="113" spans="1:22" x14ac:dyDescent="0.35">
      <c r="A113" s="101"/>
      <c r="B113" s="124" t="str">
        <f>'5) Year 1-5 Staff Assumptions'!B69</f>
        <v>Operations</v>
      </c>
      <c r="C113" s="125"/>
      <c r="D113" s="61"/>
      <c r="E113" s="115">
        <f>'6) Year 1 Budget'!E75</f>
        <v>0</v>
      </c>
      <c r="F113" s="87">
        <f>$E113/12</f>
        <v>0</v>
      </c>
      <c r="G113" s="87">
        <f t="shared" si="37"/>
        <v>0</v>
      </c>
      <c r="H113" s="87">
        <f t="shared" si="37"/>
        <v>0</v>
      </c>
      <c r="I113" s="87">
        <f t="shared" si="37"/>
        <v>0</v>
      </c>
      <c r="J113" s="87">
        <f t="shared" si="37"/>
        <v>0</v>
      </c>
      <c r="K113" s="87">
        <f t="shared" si="37"/>
        <v>0</v>
      </c>
      <c r="L113" s="87">
        <f t="shared" si="37"/>
        <v>0</v>
      </c>
      <c r="M113" s="87">
        <f t="shared" si="37"/>
        <v>0</v>
      </c>
      <c r="N113" s="87">
        <f t="shared" si="37"/>
        <v>0</v>
      </c>
      <c r="O113" s="87">
        <f t="shared" si="37"/>
        <v>0</v>
      </c>
      <c r="P113" s="87">
        <f t="shared" si="37"/>
        <v>0</v>
      </c>
      <c r="Q113" s="87">
        <f t="shared" si="37"/>
        <v>0</v>
      </c>
      <c r="R113" s="78">
        <f>SUM(F113:Q113)</f>
        <v>0</v>
      </c>
      <c r="S113" s="78">
        <f>E113-R113</f>
        <v>0</v>
      </c>
      <c r="T113" s="166"/>
      <c r="U113" s="97"/>
      <c r="V113" s="99"/>
    </row>
    <row r="114" spans="1:22" x14ac:dyDescent="0.35">
      <c r="A114" s="101"/>
      <c r="B114" s="124" t="str">
        <f>'5) Year 1-5 Staff Assumptions'!B70</f>
        <v>Social Workers/Counseling</v>
      </c>
      <c r="C114" s="125"/>
      <c r="D114" s="61"/>
      <c r="E114" s="115">
        <f>'6) Year 1 Budget'!E76</f>
        <v>0</v>
      </c>
      <c r="F114" s="87">
        <f>$E114/12</f>
        <v>0</v>
      </c>
      <c r="G114" s="87">
        <f t="shared" si="37"/>
        <v>0</v>
      </c>
      <c r="H114" s="87">
        <f t="shared" si="37"/>
        <v>0</v>
      </c>
      <c r="I114" s="87">
        <f t="shared" si="37"/>
        <v>0</v>
      </c>
      <c r="J114" s="87">
        <f t="shared" si="37"/>
        <v>0</v>
      </c>
      <c r="K114" s="87">
        <f t="shared" si="37"/>
        <v>0</v>
      </c>
      <c r="L114" s="87">
        <f t="shared" si="37"/>
        <v>0</v>
      </c>
      <c r="M114" s="87">
        <f t="shared" si="37"/>
        <v>0</v>
      </c>
      <c r="N114" s="87">
        <f t="shared" si="37"/>
        <v>0</v>
      </c>
      <c r="O114" s="87">
        <f t="shared" si="37"/>
        <v>0</v>
      </c>
      <c r="P114" s="87">
        <f t="shared" si="37"/>
        <v>0</v>
      </c>
      <c r="Q114" s="87">
        <f t="shared" si="37"/>
        <v>0</v>
      </c>
      <c r="R114" s="78">
        <f>SUM(F114:Q114)</f>
        <v>0</v>
      </c>
      <c r="S114" s="78">
        <f>E114-R114</f>
        <v>0</v>
      </c>
      <c r="T114" s="166"/>
      <c r="U114" s="97"/>
      <c r="V114" s="99"/>
    </row>
    <row r="115" spans="1:22" x14ac:dyDescent="0.35">
      <c r="A115" s="101"/>
      <c r="B115" s="124" t="str">
        <f>'5) Year 1-5 Staff Assumptions'!B71</f>
        <v>Other (Specify in Assumptions)</v>
      </c>
      <c r="C115" s="125"/>
      <c r="D115" s="61"/>
      <c r="E115" s="115">
        <f>'6) Year 1 Budget'!E77</f>
        <v>0</v>
      </c>
      <c r="F115" s="87">
        <f>$E115/12</f>
        <v>0</v>
      </c>
      <c r="G115" s="87">
        <f t="shared" si="37"/>
        <v>0</v>
      </c>
      <c r="H115" s="87">
        <f t="shared" si="37"/>
        <v>0</v>
      </c>
      <c r="I115" s="87">
        <f t="shared" si="37"/>
        <v>0</v>
      </c>
      <c r="J115" s="87">
        <f t="shared" si="37"/>
        <v>0</v>
      </c>
      <c r="K115" s="87">
        <f t="shared" si="37"/>
        <v>0</v>
      </c>
      <c r="L115" s="87">
        <f t="shared" si="37"/>
        <v>0</v>
      </c>
      <c r="M115" s="87">
        <f t="shared" si="37"/>
        <v>0</v>
      </c>
      <c r="N115" s="87">
        <f t="shared" si="37"/>
        <v>0</v>
      </c>
      <c r="O115" s="87">
        <f t="shared" si="37"/>
        <v>0</v>
      </c>
      <c r="P115" s="87">
        <f t="shared" si="37"/>
        <v>0</v>
      </c>
      <c r="Q115" s="87">
        <f t="shared" si="37"/>
        <v>0</v>
      </c>
      <c r="R115" s="78">
        <f>SUM(F115:Q115)</f>
        <v>0</v>
      </c>
      <c r="S115" s="78">
        <f>E115-R115</f>
        <v>0</v>
      </c>
      <c r="T115" s="166"/>
      <c r="U115" s="97"/>
      <c r="V115" s="99"/>
    </row>
    <row r="116" spans="1:22" ht="29" x14ac:dyDescent="0.35">
      <c r="A116" s="101"/>
      <c r="B116" s="123" t="str">
        <f>'5) Year 1-5 Staff Assumptions'!B72</f>
        <v>Total Non-Instructional  Compensation</v>
      </c>
      <c r="C116" s="126"/>
      <c r="D116" s="58"/>
      <c r="E116" s="80">
        <f>'6) Year 1 Budget'!E78</f>
        <v>32000</v>
      </c>
      <c r="F116" s="135">
        <f>SUM(F111:F115)</f>
        <v>2666.6666666666665</v>
      </c>
      <c r="G116" s="135">
        <f t="shared" ref="G116:S116" si="38">SUM(G111:G115)</f>
        <v>2666.6666666666665</v>
      </c>
      <c r="H116" s="135">
        <f t="shared" si="38"/>
        <v>2666.6666666666665</v>
      </c>
      <c r="I116" s="135">
        <f t="shared" si="38"/>
        <v>2666.6666666666665</v>
      </c>
      <c r="J116" s="135">
        <f t="shared" si="38"/>
        <v>2666.6666666666665</v>
      </c>
      <c r="K116" s="135">
        <f t="shared" si="38"/>
        <v>2666.6666666666665</v>
      </c>
      <c r="L116" s="135">
        <f t="shared" si="38"/>
        <v>2666.6666666666665</v>
      </c>
      <c r="M116" s="135">
        <f t="shared" si="38"/>
        <v>2666.6666666666665</v>
      </c>
      <c r="N116" s="135">
        <f t="shared" si="38"/>
        <v>2666.6666666666665</v>
      </c>
      <c r="O116" s="135">
        <f t="shared" si="38"/>
        <v>2666.6666666666665</v>
      </c>
      <c r="P116" s="135">
        <f t="shared" si="38"/>
        <v>2666.6666666666665</v>
      </c>
      <c r="Q116" s="135">
        <f t="shared" si="38"/>
        <v>2666.6666666666665</v>
      </c>
      <c r="R116" s="135">
        <f t="shared" si="38"/>
        <v>32000.000000000004</v>
      </c>
      <c r="S116" s="135">
        <f t="shared" si="38"/>
        <v>0</v>
      </c>
      <c r="T116" s="176"/>
      <c r="U116" s="97"/>
      <c r="V116" s="99"/>
    </row>
    <row r="117" spans="1:22" x14ac:dyDescent="0.35">
      <c r="A117" s="101"/>
      <c r="B117" s="124"/>
      <c r="C117" s="105"/>
      <c r="D117" s="61"/>
      <c r="E117" s="110"/>
      <c r="F117" s="136"/>
      <c r="G117" s="136"/>
      <c r="H117" s="136"/>
      <c r="I117" s="136"/>
      <c r="J117" s="136"/>
      <c r="K117" s="136"/>
      <c r="L117" s="136"/>
      <c r="M117" s="136"/>
      <c r="N117" s="136"/>
      <c r="O117" s="136"/>
      <c r="P117" s="136"/>
      <c r="Q117" s="136"/>
      <c r="R117" s="110"/>
      <c r="S117" s="110"/>
      <c r="T117" s="177"/>
      <c r="U117" s="97"/>
      <c r="V117" s="99"/>
    </row>
    <row r="118" spans="1:22" x14ac:dyDescent="0.35">
      <c r="A118" s="101"/>
      <c r="B118" s="124" t="str">
        <f>'5) Year 1-5 Staff Assumptions'!B74</f>
        <v>Other Compensation</v>
      </c>
      <c r="C118" s="105"/>
      <c r="D118" s="61"/>
      <c r="E118" s="115">
        <f>'6) Year 1 Budget'!E80</f>
        <v>0</v>
      </c>
      <c r="F118" s="87">
        <f>$E118/12</f>
        <v>0</v>
      </c>
      <c r="G118" s="87">
        <f t="shared" ref="G118:Q121" si="39">$E118/12</f>
        <v>0</v>
      </c>
      <c r="H118" s="87">
        <f t="shared" si="39"/>
        <v>0</v>
      </c>
      <c r="I118" s="87">
        <f t="shared" si="39"/>
        <v>0</v>
      </c>
      <c r="J118" s="87">
        <f t="shared" si="39"/>
        <v>0</v>
      </c>
      <c r="K118" s="87">
        <f t="shared" si="39"/>
        <v>0</v>
      </c>
      <c r="L118" s="87">
        <f t="shared" si="39"/>
        <v>0</v>
      </c>
      <c r="M118" s="87">
        <f t="shared" si="39"/>
        <v>0</v>
      </c>
      <c r="N118" s="87">
        <f t="shared" si="39"/>
        <v>0</v>
      </c>
      <c r="O118" s="87">
        <f t="shared" si="39"/>
        <v>0</v>
      </c>
      <c r="P118" s="87">
        <f t="shared" si="39"/>
        <v>0</v>
      </c>
      <c r="Q118" s="87">
        <f t="shared" si="39"/>
        <v>0</v>
      </c>
      <c r="R118" s="78">
        <f>SUM(F118:Q118)</f>
        <v>0</v>
      </c>
      <c r="S118" s="78">
        <f>E118-R118</f>
        <v>0</v>
      </c>
      <c r="T118" s="166"/>
      <c r="U118" s="97"/>
      <c r="V118" s="99"/>
    </row>
    <row r="119" spans="1:22" x14ac:dyDescent="0.35">
      <c r="A119" s="101"/>
      <c r="B119" s="124" t="str">
        <f>'5) Year 1-5 Staff Assumptions'!B75</f>
        <v>Other Compensation</v>
      </c>
      <c r="C119" s="105"/>
      <c r="D119" s="61"/>
      <c r="E119" s="115">
        <f>'6) Year 1 Budget'!E81</f>
        <v>0</v>
      </c>
      <c r="F119" s="87">
        <f>$E119/12</f>
        <v>0</v>
      </c>
      <c r="G119" s="87">
        <f t="shared" si="39"/>
        <v>0</v>
      </c>
      <c r="H119" s="87">
        <f t="shared" si="39"/>
        <v>0</v>
      </c>
      <c r="I119" s="87">
        <f t="shared" si="39"/>
        <v>0</v>
      </c>
      <c r="J119" s="87">
        <f t="shared" si="39"/>
        <v>0</v>
      </c>
      <c r="K119" s="87">
        <f t="shared" si="39"/>
        <v>0</v>
      </c>
      <c r="L119" s="87">
        <f t="shared" si="39"/>
        <v>0</v>
      </c>
      <c r="M119" s="87">
        <f t="shared" si="39"/>
        <v>0</v>
      </c>
      <c r="N119" s="87">
        <f t="shared" si="39"/>
        <v>0</v>
      </c>
      <c r="O119" s="87">
        <f t="shared" si="39"/>
        <v>0</v>
      </c>
      <c r="P119" s="87">
        <f t="shared" si="39"/>
        <v>0</v>
      </c>
      <c r="Q119" s="87">
        <f t="shared" si="39"/>
        <v>0</v>
      </c>
      <c r="R119" s="78">
        <f>SUM(F119:Q119)</f>
        <v>0</v>
      </c>
      <c r="S119" s="78">
        <f>E119-R119</f>
        <v>0</v>
      </c>
      <c r="T119" s="166"/>
      <c r="U119" s="97"/>
      <c r="V119" s="99"/>
    </row>
    <row r="120" spans="1:22" x14ac:dyDescent="0.35">
      <c r="A120" s="101"/>
      <c r="B120" s="124" t="str">
        <f>'5) Year 1-5 Staff Assumptions'!B76</f>
        <v>Other Compensation</v>
      </c>
      <c r="C120" s="105"/>
      <c r="D120" s="61"/>
      <c r="E120" s="115">
        <f>'6) Year 1 Budget'!E82</f>
        <v>0</v>
      </c>
      <c r="F120" s="87">
        <f>$E120/12</f>
        <v>0</v>
      </c>
      <c r="G120" s="87">
        <f t="shared" si="39"/>
        <v>0</v>
      </c>
      <c r="H120" s="87">
        <f t="shared" si="39"/>
        <v>0</v>
      </c>
      <c r="I120" s="87">
        <f t="shared" si="39"/>
        <v>0</v>
      </c>
      <c r="J120" s="87">
        <f t="shared" si="39"/>
        <v>0</v>
      </c>
      <c r="K120" s="87">
        <f t="shared" si="39"/>
        <v>0</v>
      </c>
      <c r="L120" s="87">
        <f t="shared" si="39"/>
        <v>0</v>
      </c>
      <c r="M120" s="87">
        <f t="shared" si="39"/>
        <v>0</v>
      </c>
      <c r="N120" s="87">
        <f t="shared" si="39"/>
        <v>0</v>
      </c>
      <c r="O120" s="87">
        <f t="shared" si="39"/>
        <v>0</v>
      </c>
      <c r="P120" s="87">
        <f t="shared" si="39"/>
        <v>0</v>
      </c>
      <c r="Q120" s="87">
        <f t="shared" si="39"/>
        <v>0</v>
      </c>
      <c r="R120" s="78">
        <f>SUM(F120:Q120)</f>
        <v>0</v>
      </c>
      <c r="S120" s="78">
        <f>E120-R120</f>
        <v>0</v>
      </c>
      <c r="T120" s="166"/>
      <c r="U120" s="97"/>
      <c r="V120" s="99"/>
    </row>
    <row r="121" spans="1:22" x14ac:dyDescent="0.35">
      <c r="A121" s="101"/>
      <c r="B121" s="124" t="str">
        <f>'5) Year 1-5 Staff Assumptions'!B77</f>
        <v>Other Compensation</v>
      </c>
      <c r="C121" s="105"/>
      <c r="D121" s="61"/>
      <c r="E121" s="115">
        <f>'6) Year 1 Budget'!E83</f>
        <v>0</v>
      </c>
      <c r="F121" s="87">
        <f>$E121/12</f>
        <v>0</v>
      </c>
      <c r="G121" s="87">
        <f t="shared" si="39"/>
        <v>0</v>
      </c>
      <c r="H121" s="87">
        <f t="shared" si="39"/>
        <v>0</v>
      </c>
      <c r="I121" s="87">
        <f t="shared" si="39"/>
        <v>0</v>
      </c>
      <c r="J121" s="87">
        <f t="shared" si="39"/>
        <v>0</v>
      </c>
      <c r="K121" s="87">
        <f t="shared" si="39"/>
        <v>0</v>
      </c>
      <c r="L121" s="87">
        <f t="shared" si="39"/>
        <v>0</v>
      </c>
      <c r="M121" s="87">
        <f t="shared" si="39"/>
        <v>0</v>
      </c>
      <c r="N121" s="87">
        <f t="shared" si="39"/>
        <v>0</v>
      </c>
      <c r="O121" s="87">
        <f t="shared" si="39"/>
        <v>0</v>
      </c>
      <c r="P121" s="87">
        <f t="shared" si="39"/>
        <v>0</v>
      </c>
      <c r="Q121" s="87">
        <f t="shared" si="39"/>
        <v>0</v>
      </c>
      <c r="R121" s="78">
        <f>SUM(F121:Q121)</f>
        <v>0</v>
      </c>
      <c r="S121" s="78">
        <f>E121-R121</f>
        <v>0</v>
      </c>
      <c r="T121" s="166"/>
      <c r="U121" s="97"/>
      <c r="V121" s="99"/>
    </row>
    <row r="122" spans="1:22" x14ac:dyDescent="0.35">
      <c r="A122" s="101"/>
      <c r="B122" s="124"/>
      <c r="C122" s="105"/>
      <c r="D122" s="61"/>
      <c r="E122" s="110"/>
      <c r="F122" s="110"/>
      <c r="G122" s="110"/>
      <c r="H122" s="110"/>
      <c r="I122" s="110"/>
      <c r="J122" s="110"/>
      <c r="K122" s="110"/>
      <c r="L122" s="110"/>
      <c r="M122" s="110"/>
      <c r="N122" s="110"/>
      <c r="O122" s="110"/>
      <c r="P122" s="110"/>
      <c r="Q122" s="110"/>
      <c r="R122" s="110"/>
      <c r="S122" s="110"/>
      <c r="T122" s="166"/>
      <c r="U122" s="97"/>
      <c r="V122" s="99"/>
    </row>
    <row r="123" spans="1:22" ht="15" thickBot="1" x14ac:dyDescent="0.4">
      <c r="A123" s="101"/>
      <c r="B123" s="123" t="str">
        <f>'5) Year 1-5 Staff Assumptions'!B79</f>
        <v>Total Compensation</v>
      </c>
      <c r="C123" s="58"/>
      <c r="D123" s="58"/>
      <c r="E123" s="71">
        <f>'6) Year 1 Budget'!E85</f>
        <v>594000</v>
      </c>
      <c r="F123" s="71">
        <f>F100+F108+F116+SUM(F118:F121)</f>
        <v>49499.999999999993</v>
      </c>
      <c r="G123" s="71">
        <f t="shared" ref="G123:S123" si="40">G100+G108+G116+SUM(G118:G121)</f>
        <v>49499.999999999993</v>
      </c>
      <c r="H123" s="71">
        <f t="shared" si="40"/>
        <v>49499.999999999993</v>
      </c>
      <c r="I123" s="71">
        <f t="shared" si="40"/>
        <v>49499.999999999993</v>
      </c>
      <c r="J123" s="71">
        <f t="shared" si="40"/>
        <v>49499.999999999993</v>
      </c>
      <c r="K123" s="71">
        <f t="shared" si="40"/>
        <v>49499.999999999993</v>
      </c>
      <c r="L123" s="71">
        <f t="shared" si="40"/>
        <v>49499.999999999993</v>
      </c>
      <c r="M123" s="71">
        <f t="shared" si="40"/>
        <v>49499.999999999993</v>
      </c>
      <c r="N123" s="71">
        <f t="shared" si="40"/>
        <v>49499.999999999993</v>
      </c>
      <c r="O123" s="71">
        <f t="shared" si="40"/>
        <v>49499.999999999993</v>
      </c>
      <c r="P123" s="71">
        <f t="shared" si="40"/>
        <v>49499.999999999993</v>
      </c>
      <c r="Q123" s="71">
        <f t="shared" si="40"/>
        <v>49499.999999999993</v>
      </c>
      <c r="R123" s="71">
        <f t="shared" si="40"/>
        <v>594000</v>
      </c>
      <c r="S123" s="71">
        <f t="shared" si="40"/>
        <v>0</v>
      </c>
      <c r="T123" s="72"/>
      <c r="U123" s="97"/>
      <c r="V123" s="99"/>
    </row>
    <row r="124" spans="1:22" ht="15" thickTop="1" x14ac:dyDescent="0.35">
      <c r="A124" s="101"/>
      <c r="B124" s="47"/>
      <c r="C124" s="61"/>
      <c r="D124" s="61"/>
      <c r="E124" s="122"/>
      <c r="F124" s="122"/>
      <c r="G124" s="122"/>
      <c r="H124" s="122"/>
      <c r="I124" s="122"/>
      <c r="J124" s="122"/>
      <c r="K124" s="122"/>
      <c r="L124" s="122"/>
      <c r="M124" s="122"/>
      <c r="N124" s="122"/>
      <c r="O124" s="122"/>
      <c r="P124" s="122"/>
      <c r="Q124" s="122"/>
      <c r="R124" s="122"/>
      <c r="S124" s="122"/>
      <c r="T124" s="122"/>
      <c r="U124" s="97"/>
      <c r="V124" s="99"/>
    </row>
    <row r="125" spans="1:22" x14ac:dyDescent="0.35">
      <c r="A125" s="101"/>
      <c r="B125" s="47"/>
      <c r="C125" s="61"/>
      <c r="D125" s="61"/>
      <c r="E125" s="122"/>
      <c r="F125" s="122"/>
      <c r="G125" s="122"/>
      <c r="H125" s="122"/>
      <c r="I125" s="122"/>
      <c r="J125" s="122"/>
      <c r="K125" s="122"/>
      <c r="L125" s="122"/>
      <c r="M125" s="122"/>
      <c r="N125" s="122"/>
      <c r="O125" s="122"/>
      <c r="P125" s="122"/>
      <c r="Q125" s="122"/>
      <c r="R125" s="122"/>
      <c r="S125" s="122"/>
      <c r="T125" s="122"/>
      <c r="U125" s="97"/>
      <c r="V125" s="99"/>
    </row>
    <row r="126" spans="1:22" ht="14.65" customHeight="1" x14ac:dyDescent="0.35">
      <c r="A126" s="101"/>
      <c r="B126" s="119"/>
      <c r="C126" s="97"/>
      <c r="D126" s="97"/>
      <c r="E126" s="319" t="s">
        <v>158</v>
      </c>
      <c r="F126" s="319"/>
      <c r="G126" s="319"/>
      <c r="H126" s="319"/>
      <c r="I126" s="319"/>
      <c r="J126" s="319"/>
      <c r="K126" s="319"/>
      <c r="L126" s="319"/>
      <c r="M126" s="319"/>
      <c r="N126" s="319"/>
      <c r="O126" s="319"/>
      <c r="P126" s="319"/>
      <c r="Q126" s="319"/>
      <c r="R126" s="319"/>
      <c r="S126" s="319"/>
      <c r="T126" s="122"/>
      <c r="U126" s="97"/>
      <c r="V126" s="99"/>
    </row>
    <row r="127" spans="1:22" ht="14.65" customHeight="1" x14ac:dyDescent="0.35">
      <c r="A127" s="101"/>
      <c r="B127" s="119"/>
      <c r="C127" s="97"/>
      <c r="D127" s="97"/>
      <c r="E127" s="97"/>
      <c r="F127" s="97"/>
      <c r="G127" s="97"/>
      <c r="H127" s="97"/>
      <c r="I127" s="97"/>
      <c r="J127" s="97"/>
      <c r="K127" s="97"/>
      <c r="L127" s="97"/>
      <c r="M127" s="97"/>
      <c r="N127" s="97"/>
      <c r="O127" s="97"/>
      <c r="P127" s="97"/>
      <c r="Q127" s="97"/>
      <c r="R127" s="97"/>
      <c r="S127" s="97"/>
      <c r="T127" s="122"/>
      <c r="U127" s="97"/>
      <c r="V127" s="99"/>
    </row>
    <row r="128" spans="1:22" x14ac:dyDescent="0.35">
      <c r="A128" s="101"/>
      <c r="B128" s="119"/>
      <c r="C128" s="97"/>
      <c r="D128" s="97"/>
      <c r="E128" s="120" t="str">
        <f>E90</f>
        <v>Year 1</v>
      </c>
      <c r="F128" s="120" t="str">
        <f t="shared" ref="F128:S128" si="41">F90</f>
        <v>Year 1</v>
      </c>
      <c r="G128" s="120" t="str">
        <f t="shared" si="41"/>
        <v>Year 1</v>
      </c>
      <c r="H128" s="120" t="str">
        <f t="shared" si="41"/>
        <v>Year 1</v>
      </c>
      <c r="I128" s="120" t="str">
        <f t="shared" si="41"/>
        <v>Year 1</v>
      </c>
      <c r="J128" s="120" t="str">
        <f t="shared" si="41"/>
        <v>Year 1</v>
      </c>
      <c r="K128" s="120" t="str">
        <f t="shared" si="41"/>
        <v>Year 1</v>
      </c>
      <c r="L128" s="120" t="str">
        <f t="shared" si="41"/>
        <v>Year 1</v>
      </c>
      <c r="M128" s="120" t="str">
        <f t="shared" si="41"/>
        <v>Year 1</v>
      </c>
      <c r="N128" s="120" t="str">
        <f t="shared" si="41"/>
        <v>Year 1</v>
      </c>
      <c r="O128" s="120" t="str">
        <f t="shared" si="41"/>
        <v>Year 1</v>
      </c>
      <c r="P128" s="120" t="str">
        <f t="shared" si="41"/>
        <v>Year 1</v>
      </c>
      <c r="Q128" s="120" t="str">
        <f t="shared" si="41"/>
        <v>Year 1</v>
      </c>
      <c r="R128" s="120" t="str">
        <f t="shared" si="41"/>
        <v>Year 1</v>
      </c>
      <c r="S128" s="120" t="str">
        <f t="shared" si="41"/>
        <v>Year 1</v>
      </c>
      <c r="T128" s="103"/>
      <c r="U128" s="97"/>
      <c r="V128" s="99"/>
    </row>
    <row r="129" spans="1:22" x14ac:dyDescent="0.35">
      <c r="A129" s="105"/>
      <c r="B129" s="47"/>
      <c r="C129" s="58"/>
      <c r="D129" s="2"/>
      <c r="E129" s="129" t="str">
        <f t="shared" ref="E129:S130" si="42">E91</f>
        <v>2021-22</v>
      </c>
      <c r="F129" s="129" t="str">
        <f t="shared" si="42"/>
        <v>2021-22</v>
      </c>
      <c r="G129" s="129" t="str">
        <f t="shared" si="42"/>
        <v>2021-22</v>
      </c>
      <c r="H129" s="129" t="str">
        <f t="shared" si="42"/>
        <v>2021-22</v>
      </c>
      <c r="I129" s="129" t="str">
        <f t="shared" si="42"/>
        <v>2021-22</v>
      </c>
      <c r="J129" s="129" t="str">
        <f t="shared" si="42"/>
        <v>2021-22</v>
      </c>
      <c r="K129" s="129" t="str">
        <f t="shared" si="42"/>
        <v>2021-22</v>
      </c>
      <c r="L129" s="129" t="str">
        <f t="shared" si="42"/>
        <v>2021-22</v>
      </c>
      <c r="M129" s="129" t="str">
        <f t="shared" si="42"/>
        <v>2021-22</v>
      </c>
      <c r="N129" s="129" t="str">
        <f t="shared" si="42"/>
        <v>2021-22</v>
      </c>
      <c r="O129" s="129" t="str">
        <f t="shared" si="42"/>
        <v>2021-22</v>
      </c>
      <c r="P129" s="129" t="str">
        <f t="shared" si="42"/>
        <v>2021-22</v>
      </c>
      <c r="Q129" s="129" t="str">
        <f t="shared" si="42"/>
        <v>2021-22</v>
      </c>
      <c r="R129" s="129" t="str">
        <f t="shared" si="42"/>
        <v>2021-22</v>
      </c>
      <c r="S129" s="129" t="str">
        <f t="shared" si="42"/>
        <v>2021-22</v>
      </c>
      <c r="T129" s="122"/>
      <c r="U129" s="97"/>
      <c r="V129" s="99"/>
    </row>
    <row r="130" spans="1:22" x14ac:dyDescent="0.35">
      <c r="A130" s="105"/>
      <c r="B130" s="47"/>
      <c r="C130" s="58"/>
      <c r="D130" s="2"/>
      <c r="E130" s="129" t="str">
        <f t="shared" si="42"/>
        <v>Total Budget</v>
      </c>
      <c r="F130" s="129" t="str">
        <f t="shared" si="42"/>
        <v>July</v>
      </c>
      <c r="G130" s="129" t="str">
        <f t="shared" si="42"/>
        <v>August</v>
      </c>
      <c r="H130" s="129" t="str">
        <f t="shared" si="42"/>
        <v>September</v>
      </c>
      <c r="I130" s="129" t="str">
        <f t="shared" si="42"/>
        <v>October</v>
      </c>
      <c r="J130" s="129" t="str">
        <f t="shared" si="42"/>
        <v>November</v>
      </c>
      <c r="K130" s="129" t="str">
        <f t="shared" si="42"/>
        <v>December</v>
      </c>
      <c r="L130" s="129" t="str">
        <f t="shared" si="42"/>
        <v>January</v>
      </c>
      <c r="M130" s="129" t="str">
        <f t="shared" si="42"/>
        <v>February</v>
      </c>
      <c r="N130" s="129" t="str">
        <f t="shared" si="42"/>
        <v>March</v>
      </c>
      <c r="O130" s="129" t="str">
        <f t="shared" si="42"/>
        <v>April</v>
      </c>
      <c r="P130" s="129" t="str">
        <f t="shared" si="42"/>
        <v>May</v>
      </c>
      <c r="Q130" s="129" t="str">
        <f t="shared" si="42"/>
        <v>June</v>
      </c>
      <c r="R130" s="129" t="str">
        <f t="shared" si="42"/>
        <v>Total</v>
      </c>
      <c r="S130" s="129" t="str">
        <f t="shared" si="42"/>
        <v>AR/AP</v>
      </c>
      <c r="T130" s="122"/>
      <c r="U130" s="97"/>
      <c r="V130" s="99"/>
    </row>
    <row r="131" spans="1:22" x14ac:dyDescent="0.35">
      <c r="A131" s="105"/>
      <c r="B131" s="47"/>
      <c r="C131" s="58"/>
      <c r="D131" s="2"/>
      <c r="E131" s="122"/>
      <c r="F131" s="122"/>
      <c r="G131" s="122"/>
      <c r="H131" s="122"/>
      <c r="I131" s="122"/>
      <c r="J131" s="122"/>
      <c r="K131" s="122"/>
      <c r="L131" s="122"/>
      <c r="M131" s="122"/>
      <c r="N131" s="122"/>
      <c r="O131" s="122"/>
      <c r="P131" s="122"/>
      <c r="Q131" s="122"/>
      <c r="R131" s="122"/>
      <c r="S131" s="122"/>
      <c r="T131" s="63" t="s">
        <v>133</v>
      </c>
      <c r="U131" s="97"/>
      <c r="V131" s="99"/>
    </row>
    <row r="132" spans="1:22" x14ac:dyDescent="0.35">
      <c r="A132" s="105"/>
      <c r="B132" s="47" t="str">
        <f>'5) Year 1-5 Staff Assumptions'!B86</f>
        <v xml:space="preserve">Social Security </v>
      </c>
      <c r="C132" s="61"/>
      <c r="D132" s="61"/>
      <c r="E132" s="130">
        <f>'6) Year 1 Budget'!E94</f>
        <v>36828</v>
      </c>
      <c r="F132" s="87">
        <f>$E132/12</f>
        <v>3069</v>
      </c>
      <c r="G132" s="87">
        <f t="shared" ref="G132:Q146" si="43">$E132/12</f>
        <v>3069</v>
      </c>
      <c r="H132" s="87">
        <f t="shared" si="43"/>
        <v>3069</v>
      </c>
      <c r="I132" s="87">
        <f t="shared" si="43"/>
        <v>3069</v>
      </c>
      <c r="J132" s="87">
        <f t="shared" si="43"/>
        <v>3069</v>
      </c>
      <c r="K132" s="87">
        <f t="shared" si="43"/>
        <v>3069</v>
      </c>
      <c r="L132" s="87">
        <f t="shared" si="43"/>
        <v>3069</v>
      </c>
      <c r="M132" s="87">
        <f t="shared" si="43"/>
        <v>3069</v>
      </c>
      <c r="N132" s="87">
        <f t="shared" si="43"/>
        <v>3069</v>
      </c>
      <c r="O132" s="87">
        <f t="shared" si="43"/>
        <v>3069</v>
      </c>
      <c r="P132" s="87">
        <f t="shared" si="43"/>
        <v>3069</v>
      </c>
      <c r="Q132" s="87">
        <f t="shared" si="43"/>
        <v>3069</v>
      </c>
      <c r="R132" s="78">
        <f>SUM(F132:Q132)</f>
        <v>36828</v>
      </c>
      <c r="S132" s="78">
        <f>E132-R132</f>
        <v>0</v>
      </c>
      <c r="T132" s="165" t="s">
        <v>393</v>
      </c>
      <c r="U132" s="97"/>
      <c r="V132" s="99"/>
    </row>
    <row r="133" spans="1:22" x14ac:dyDescent="0.35">
      <c r="A133" s="101"/>
      <c r="B133" s="47" t="str">
        <f>'5) Year 1-5 Staff Assumptions'!B87</f>
        <v>Medicare</v>
      </c>
      <c r="C133" s="61"/>
      <c r="D133" s="61"/>
      <c r="E133" s="130">
        <f>'6) Year 1 Budget'!E95</f>
        <v>8613</v>
      </c>
      <c r="F133" s="87">
        <f t="shared" ref="F133:F146" si="44">$E133/12</f>
        <v>717.75</v>
      </c>
      <c r="G133" s="87">
        <f t="shared" si="43"/>
        <v>717.75</v>
      </c>
      <c r="H133" s="87">
        <f t="shared" si="43"/>
        <v>717.75</v>
      </c>
      <c r="I133" s="87">
        <f t="shared" si="43"/>
        <v>717.75</v>
      </c>
      <c r="J133" s="87">
        <f t="shared" si="43"/>
        <v>717.75</v>
      </c>
      <c r="K133" s="87">
        <f t="shared" si="43"/>
        <v>717.75</v>
      </c>
      <c r="L133" s="87">
        <f t="shared" si="43"/>
        <v>717.75</v>
      </c>
      <c r="M133" s="87">
        <f t="shared" si="43"/>
        <v>717.75</v>
      </c>
      <c r="N133" s="87">
        <f t="shared" si="43"/>
        <v>717.75</v>
      </c>
      <c r="O133" s="87">
        <f t="shared" si="43"/>
        <v>717.75</v>
      </c>
      <c r="P133" s="87">
        <f t="shared" si="43"/>
        <v>717.75</v>
      </c>
      <c r="Q133" s="87">
        <f t="shared" si="43"/>
        <v>717.75</v>
      </c>
      <c r="R133" s="78">
        <f>SUM(F133:Q133)</f>
        <v>8613</v>
      </c>
      <c r="S133" s="78">
        <f>E133-R133</f>
        <v>0</v>
      </c>
      <c r="T133" s="165" t="s">
        <v>394</v>
      </c>
      <c r="U133" s="97"/>
      <c r="V133" s="99"/>
    </row>
    <row r="134" spans="1:22" x14ac:dyDescent="0.35">
      <c r="A134" s="105"/>
      <c r="B134" s="47" t="str">
        <f>'5) Year 1-5 Staff Assumptions'!B88</f>
        <v>State Unemployment</v>
      </c>
      <c r="C134" s="61"/>
      <c r="D134" s="61"/>
      <c r="E134" s="130">
        <f>'6) Year 1 Budget'!E96</f>
        <v>4800</v>
      </c>
      <c r="F134" s="87">
        <f t="shared" si="44"/>
        <v>400</v>
      </c>
      <c r="G134" s="87">
        <f t="shared" si="43"/>
        <v>400</v>
      </c>
      <c r="H134" s="87">
        <f t="shared" si="43"/>
        <v>400</v>
      </c>
      <c r="I134" s="87">
        <f t="shared" si="43"/>
        <v>400</v>
      </c>
      <c r="J134" s="87">
        <f t="shared" si="43"/>
        <v>400</v>
      </c>
      <c r="K134" s="87">
        <f t="shared" si="43"/>
        <v>400</v>
      </c>
      <c r="L134" s="87">
        <f t="shared" si="43"/>
        <v>400</v>
      </c>
      <c r="M134" s="87">
        <f t="shared" si="43"/>
        <v>400</v>
      </c>
      <c r="N134" s="87">
        <f t="shared" si="43"/>
        <v>400</v>
      </c>
      <c r="O134" s="87">
        <f t="shared" si="43"/>
        <v>400</v>
      </c>
      <c r="P134" s="87">
        <f t="shared" si="43"/>
        <v>400</v>
      </c>
      <c r="Q134" s="87">
        <f t="shared" si="43"/>
        <v>400</v>
      </c>
      <c r="R134" s="78">
        <f>SUM(F134:Q134)</f>
        <v>4800</v>
      </c>
      <c r="S134" s="78">
        <f>E134-R134</f>
        <v>0</v>
      </c>
      <c r="T134" s="165" t="s">
        <v>395</v>
      </c>
      <c r="U134" s="97"/>
      <c r="V134" s="99"/>
    </row>
    <row r="135" spans="1:22" x14ac:dyDescent="0.35">
      <c r="A135" s="105"/>
      <c r="B135" s="47" t="str">
        <f>'5) Year 1-5 Staff Assumptions'!B89</f>
        <v>Disability/Life Insurance</v>
      </c>
      <c r="C135" s="61"/>
      <c r="D135" s="61"/>
      <c r="E135" s="130">
        <f>'6) Year 1 Budget'!E97</f>
        <v>1485</v>
      </c>
      <c r="F135" s="87">
        <f t="shared" si="44"/>
        <v>123.75</v>
      </c>
      <c r="G135" s="87">
        <f t="shared" si="43"/>
        <v>123.75</v>
      </c>
      <c r="H135" s="87">
        <f t="shared" si="43"/>
        <v>123.75</v>
      </c>
      <c r="I135" s="87">
        <f t="shared" si="43"/>
        <v>123.75</v>
      </c>
      <c r="J135" s="87">
        <f t="shared" si="43"/>
        <v>123.75</v>
      </c>
      <c r="K135" s="87">
        <f t="shared" si="43"/>
        <v>123.75</v>
      </c>
      <c r="L135" s="87">
        <f t="shared" si="43"/>
        <v>123.75</v>
      </c>
      <c r="M135" s="87">
        <f t="shared" si="43"/>
        <v>123.75</v>
      </c>
      <c r="N135" s="87">
        <f t="shared" si="43"/>
        <v>123.75</v>
      </c>
      <c r="O135" s="87">
        <f t="shared" si="43"/>
        <v>123.75</v>
      </c>
      <c r="P135" s="87">
        <f t="shared" si="43"/>
        <v>123.75</v>
      </c>
      <c r="Q135" s="87">
        <f t="shared" si="43"/>
        <v>123.75</v>
      </c>
      <c r="R135" s="78">
        <f t="shared" ref="R135:R146" si="45">SUM(F135:Q135)</f>
        <v>1485</v>
      </c>
      <c r="S135" s="78">
        <f t="shared" ref="S135:S146" si="46">E135-R135</f>
        <v>0</v>
      </c>
      <c r="T135" s="248" t="s">
        <v>438</v>
      </c>
      <c r="U135" s="97"/>
      <c r="V135" s="99"/>
    </row>
    <row r="136" spans="1:22" x14ac:dyDescent="0.35">
      <c r="A136" s="105"/>
      <c r="B136" s="47" t="str">
        <f>'5) Year 1-5 Staff Assumptions'!B90</f>
        <v>Workers Compensation Insurance</v>
      </c>
      <c r="C136" s="61"/>
      <c r="D136" s="61"/>
      <c r="E136" s="130">
        <f>'6) Year 1 Budget'!E98</f>
        <v>7425</v>
      </c>
      <c r="F136" s="87">
        <f t="shared" si="44"/>
        <v>618.75</v>
      </c>
      <c r="G136" s="87">
        <f t="shared" si="43"/>
        <v>618.75</v>
      </c>
      <c r="H136" s="87">
        <f t="shared" si="43"/>
        <v>618.75</v>
      </c>
      <c r="I136" s="87">
        <f t="shared" si="43"/>
        <v>618.75</v>
      </c>
      <c r="J136" s="87">
        <f t="shared" si="43"/>
        <v>618.75</v>
      </c>
      <c r="K136" s="87">
        <f t="shared" si="43"/>
        <v>618.75</v>
      </c>
      <c r="L136" s="87">
        <f t="shared" si="43"/>
        <v>618.75</v>
      </c>
      <c r="M136" s="87">
        <f t="shared" si="43"/>
        <v>618.75</v>
      </c>
      <c r="N136" s="87">
        <f t="shared" si="43"/>
        <v>618.75</v>
      </c>
      <c r="O136" s="87">
        <f t="shared" si="43"/>
        <v>618.75</v>
      </c>
      <c r="P136" s="87">
        <f t="shared" si="43"/>
        <v>618.75</v>
      </c>
      <c r="Q136" s="87">
        <f t="shared" si="43"/>
        <v>618.75</v>
      </c>
      <c r="R136" s="78">
        <f t="shared" si="45"/>
        <v>7425</v>
      </c>
      <c r="S136" s="78">
        <f t="shared" si="46"/>
        <v>0</v>
      </c>
      <c r="T136" s="249" t="s">
        <v>439</v>
      </c>
      <c r="U136" s="97"/>
      <c r="V136" s="99"/>
    </row>
    <row r="137" spans="1:22" x14ac:dyDescent="0.35">
      <c r="A137" s="105"/>
      <c r="B137" s="47" t="str">
        <f>'5) Year 1-5 Staff Assumptions'!B91</f>
        <v>Other Fringe Benefits</v>
      </c>
      <c r="C137" s="61"/>
      <c r="D137" s="61"/>
      <c r="E137" s="130">
        <f>'6) Year 1 Budget'!E99</f>
        <v>0</v>
      </c>
      <c r="F137" s="87">
        <f t="shared" si="44"/>
        <v>0</v>
      </c>
      <c r="G137" s="87">
        <f t="shared" si="43"/>
        <v>0</v>
      </c>
      <c r="H137" s="87">
        <f t="shared" si="43"/>
        <v>0</v>
      </c>
      <c r="I137" s="87">
        <f t="shared" si="43"/>
        <v>0</v>
      </c>
      <c r="J137" s="87">
        <f t="shared" si="43"/>
        <v>0</v>
      </c>
      <c r="K137" s="87">
        <f t="shared" si="43"/>
        <v>0</v>
      </c>
      <c r="L137" s="87">
        <f t="shared" si="43"/>
        <v>0</v>
      </c>
      <c r="M137" s="87">
        <f t="shared" si="43"/>
        <v>0</v>
      </c>
      <c r="N137" s="87">
        <f t="shared" si="43"/>
        <v>0</v>
      </c>
      <c r="O137" s="87">
        <f t="shared" si="43"/>
        <v>0</v>
      </c>
      <c r="P137" s="87">
        <f t="shared" si="43"/>
        <v>0</v>
      </c>
      <c r="Q137" s="87">
        <f t="shared" si="43"/>
        <v>0</v>
      </c>
      <c r="R137" s="78">
        <f t="shared" si="45"/>
        <v>0</v>
      </c>
      <c r="S137" s="78">
        <f t="shared" si="46"/>
        <v>0</v>
      </c>
      <c r="T137" s="166"/>
      <c r="U137" s="97"/>
      <c r="V137" s="99"/>
    </row>
    <row r="138" spans="1:22" ht="29" x14ac:dyDescent="0.35">
      <c r="A138" s="101"/>
      <c r="B138" s="47" t="str">
        <f>'5) Year 1-5 Staff Assumptions'!B96</f>
        <v>Medical Insurance</v>
      </c>
      <c r="C138" s="61"/>
      <c r="D138" s="61"/>
      <c r="E138" s="130">
        <f>'6) Year 1 Budget'!E100</f>
        <v>43200</v>
      </c>
      <c r="F138" s="87">
        <f t="shared" si="44"/>
        <v>3600</v>
      </c>
      <c r="G138" s="87">
        <f t="shared" si="43"/>
        <v>3600</v>
      </c>
      <c r="H138" s="87">
        <f t="shared" si="43"/>
        <v>3600</v>
      </c>
      <c r="I138" s="87">
        <f t="shared" si="43"/>
        <v>3600</v>
      </c>
      <c r="J138" s="87">
        <f t="shared" si="43"/>
        <v>3600</v>
      </c>
      <c r="K138" s="87">
        <f t="shared" si="43"/>
        <v>3600</v>
      </c>
      <c r="L138" s="87">
        <f t="shared" si="43"/>
        <v>3600</v>
      </c>
      <c r="M138" s="87">
        <f t="shared" si="43"/>
        <v>3600</v>
      </c>
      <c r="N138" s="87">
        <f t="shared" si="43"/>
        <v>3600</v>
      </c>
      <c r="O138" s="87">
        <f t="shared" si="43"/>
        <v>3600</v>
      </c>
      <c r="P138" s="87">
        <f t="shared" si="43"/>
        <v>3600</v>
      </c>
      <c r="Q138" s="87">
        <f t="shared" si="43"/>
        <v>3600</v>
      </c>
      <c r="R138" s="78">
        <f t="shared" si="45"/>
        <v>43200</v>
      </c>
      <c r="S138" s="78">
        <f t="shared" si="46"/>
        <v>0</v>
      </c>
      <c r="T138" s="261" t="s">
        <v>398</v>
      </c>
      <c r="U138" s="97"/>
      <c r="V138" s="99"/>
    </row>
    <row r="139" spans="1:22" ht="29" x14ac:dyDescent="0.35">
      <c r="A139" s="101"/>
      <c r="B139" s="47" t="str">
        <f>'5) Year 1-5 Staff Assumptions'!B97</f>
        <v>Dental Insurance</v>
      </c>
      <c r="C139" s="61"/>
      <c r="D139" s="61"/>
      <c r="E139" s="130">
        <f>'6) Year 1 Budget'!E101</f>
        <v>10800</v>
      </c>
      <c r="F139" s="87">
        <f t="shared" si="44"/>
        <v>900</v>
      </c>
      <c r="G139" s="87">
        <f t="shared" si="43"/>
        <v>900</v>
      </c>
      <c r="H139" s="87">
        <f t="shared" si="43"/>
        <v>900</v>
      </c>
      <c r="I139" s="87">
        <f t="shared" si="43"/>
        <v>900</v>
      </c>
      <c r="J139" s="87">
        <f t="shared" si="43"/>
        <v>900</v>
      </c>
      <c r="K139" s="87">
        <f t="shared" si="43"/>
        <v>900</v>
      </c>
      <c r="L139" s="87">
        <f t="shared" si="43"/>
        <v>900</v>
      </c>
      <c r="M139" s="87">
        <f t="shared" si="43"/>
        <v>900</v>
      </c>
      <c r="N139" s="87">
        <f t="shared" si="43"/>
        <v>900</v>
      </c>
      <c r="O139" s="87">
        <f t="shared" si="43"/>
        <v>900</v>
      </c>
      <c r="P139" s="87">
        <f t="shared" si="43"/>
        <v>900</v>
      </c>
      <c r="Q139" s="87">
        <f t="shared" si="43"/>
        <v>900</v>
      </c>
      <c r="R139" s="78">
        <f t="shared" si="45"/>
        <v>10800</v>
      </c>
      <c r="S139" s="78">
        <f t="shared" si="46"/>
        <v>0</v>
      </c>
      <c r="T139" s="261" t="s">
        <v>448</v>
      </c>
      <c r="U139" s="97"/>
      <c r="V139" s="99"/>
    </row>
    <row r="140" spans="1:22" ht="29" x14ac:dyDescent="0.35">
      <c r="A140" s="101"/>
      <c r="B140" s="47" t="str">
        <f>'5) Year 1-5 Staff Assumptions'!B98</f>
        <v>Vision Insurance</v>
      </c>
      <c r="C140" s="61"/>
      <c r="D140" s="61"/>
      <c r="E140" s="130">
        <f>'6) Year 1 Budget'!E102</f>
        <v>3600</v>
      </c>
      <c r="F140" s="87">
        <f t="shared" si="44"/>
        <v>300</v>
      </c>
      <c r="G140" s="87">
        <f t="shared" si="43"/>
        <v>300</v>
      </c>
      <c r="H140" s="87">
        <f t="shared" si="43"/>
        <v>300</v>
      </c>
      <c r="I140" s="87">
        <f t="shared" si="43"/>
        <v>300</v>
      </c>
      <c r="J140" s="87">
        <f t="shared" si="43"/>
        <v>300</v>
      </c>
      <c r="K140" s="87">
        <f t="shared" si="43"/>
        <v>300</v>
      </c>
      <c r="L140" s="87">
        <f t="shared" si="43"/>
        <v>300</v>
      </c>
      <c r="M140" s="87">
        <f t="shared" si="43"/>
        <v>300</v>
      </c>
      <c r="N140" s="87">
        <f t="shared" si="43"/>
        <v>300</v>
      </c>
      <c r="O140" s="87">
        <f t="shared" si="43"/>
        <v>300</v>
      </c>
      <c r="P140" s="87">
        <f t="shared" si="43"/>
        <v>300</v>
      </c>
      <c r="Q140" s="87">
        <f t="shared" si="43"/>
        <v>300</v>
      </c>
      <c r="R140" s="78">
        <f t="shared" si="45"/>
        <v>3600</v>
      </c>
      <c r="S140" s="78">
        <f t="shared" si="46"/>
        <v>0</v>
      </c>
      <c r="T140" s="261" t="s">
        <v>400</v>
      </c>
      <c r="U140" s="97"/>
      <c r="V140" s="99"/>
    </row>
    <row r="141" spans="1:22" ht="29" x14ac:dyDescent="0.35">
      <c r="A141" s="101"/>
      <c r="B141" s="47" t="str">
        <f>'5) Year 1-5 Staff Assumptions'!B100</f>
        <v>TCRS Certified Legacy</v>
      </c>
      <c r="C141" s="61"/>
      <c r="D141" s="61"/>
      <c r="E141" s="130">
        <f>'6) Year 1 Budget'!E103</f>
        <v>62132.4</v>
      </c>
      <c r="F141" s="87">
        <f t="shared" si="44"/>
        <v>5177.7</v>
      </c>
      <c r="G141" s="87">
        <f t="shared" si="43"/>
        <v>5177.7</v>
      </c>
      <c r="H141" s="87">
        <f t="shared" si="43"/>
        <v>5177.7</v>
      </c>
      <c r="I141" s="87">
        <f t="shared" si="43"/>
        <v>5177.7</v>
      </c>
      <c r="J141" s="87">
        <f t="shared" si="43"/>
        <v>5177.7</v>
      </c>
      <c r="K141" s="87">
        <f t="shared" si="43"/>
        <v>5177.7</v>
      </c>
      <c r="L141" s="87">
        <f t="shared" si="43"/>
        <v>5177.7</v>
      </c>
      <c r="M141" s="87">
        <f t="shared" si="43"/>
        <v>5177.7</v>
      </c>
      <c r="N141" s="87">
        <f t="shared" si="43"/>
        <v>5177.7</v>
      </c>
      <c r="O141" s="87">
        <f t="shared" si="43"/>
        <v>5177.7</v>
      </c>
      <c r="P141" s="87">
        <f t="shared" si="43"/>
        <v>5177.7</v>
      </c>
      <c r="Q141" s="87">
        <f t="shared" si="43"/>
        <v>5177.7</v>
      </c>
      <c r="R141" s="78">
        <f t="shared" si="45"/>
        <v>62132.399999999987</v>
      </c>
      <c r="S141" s="78">
        <f t="shared" si="46"/>
        <v>0</v>
      </c>
      <c r="T141" s="261" t="s">
        <v>336</v>
      </c>
      <c r="U141" s="97"/>
      <c r="V141" s="99"/>
    </row>
    <row r="142" spans="1:22" x14ac:dyDescent="0.35">
      <c r="A142" s="101"/>
      <c r="B142" s="47" t="str">
        <f>'5) Year 1-5 Staff Assumptions'!B101</f>
        <v>TCRS Certified Hybrid</v>
      </c>
      <c r="C142" s="61"/>
      <c r="D142" s="61"/>
      <c r="E142" s="130">
        <f>'6) Year 1 Budget'!E104</f>
        <v>0</v>
      </c>
      <c r="F142" s="87">
        <f t="shared" si="44"/>
        <v>0</v>
      </c>
      <c r="G142" s="87">
        <f t="shared" si="43"/>
        <v>0</v>
      </c>
      <c r="H142" s="87">
        <f t="shared" si="43"/>
        <v>0</v>
      </c>
      <c r="I142" s="87">
        <f t="shared" si="43"/>
        <v>0</v>
      </c>
      <c r="J142" s="87">
        <f t="shared" si="43"/>
        <v>0</v>
      </c>
      <c r="K142" s="87">
        <f t="shared" si="43"/>
        <v>0</v>
      </c>
      <c r="L142" s="87">
        <f t="shared" si="43"/>
        <v>0</v>
      </c>
      <c r="M142" s="87">
        <f t="shared" si="43"/>
        <v>0</v>
      </c>
      <c r="N142" s="87">
        <f t="shared" si="43"/>
        <v>0</v>
      </c>
      <c r="O142" s="87">
        <f t="shared" si="43"/>
        <v>0</v>
      </c>
      <c r="P142" s="87">
        <f t="shared" si="43"/>
        <v>0</v>
      </c>
      <c r="Q142" s="87">
        <f t="shared" si="43"/>
        <v>0</v>
      </c>
      <c r="R142" s="78">
        <f>SUM(F142:Q142)</f>
        <v>0</v>
      </c>
      <c r="S142" s="78">
        <f>E142-R142</f>
        <v>0</v>
      </c>
      <c r="T142" s="166"/>
      <c r="U142" s="97"/>
      <c r="V142" s="99"/>
    </row>
    <row r="143" spans="1:22" x14ac:dyDescent="0.35">
      <c r="A143" s="101"/>
      <c r="B143" s="47" t="str">
        <f>'5) Year 1-5 Staff Assumptions'!B102</f>
        <v>TCRS Classified Legacy</v>
      </c>
      <c r="C143" s="61"/>
      <c r="D143" s="61"/>
      <c r="E143" s="130">
        <f>'6) Year 1 Budget'!E105</f>
        <v>0</v>
      </c>
      <c r="F143" s="87">
        <f t="shared" si="44"/>
        <v>0</v>
      </c>
      <c r="G143" s="87">
        <f t="shared" si="43"/>
        <v>0</v>
      </c>
      <c r="H143" s="87">
        <f t="shared" si="43"/>
        <v>0</v>
      </c>
      <c r="I143" s="87">
        <f t="shared" si="43"/>
        <v>0</v>
      </c>
      <c r="J143" s="87">
        <f t="shared" si="43"/>
        <v>0</v>
      </c>
      <c r="K143" s="87">
        <f t="shared" si="43"/>
        <v>0</v>
      </c>
      <c r="L143" s="87">
        <f t="shared" si="43"/>
        <v>0</v>
      </c>
      <c r="M143" s="87">
        <f t="shared" si="43"/>
        <v>0</v>
      </c>
      <c r="N143" s="87">
        <f t="shared" si="43"/>
        <v>0</v>
      </c>
      <c r="O143" s="87">
        <f t="shared" si="43"/>
        <v>0</v>
      </c>
      <c r="P143" s="87">
        <f t="shared" si="43"/>
        <v>0</v>
      </c>
      <c r="Q143" s="87">
        <f t="shared" si="43"/>
        <v>0</v>
      </c>
      <c r="R143" s="78">
        <f>SUM(F143:Q143)</f>
        <v>0</v>
      </c>
      <c r="S143" s="78">
        <f>E143-R143</f>
        <v>0</v>
      </c>
      <c r="T143" s="166"/>
      <c r="U143" s="97"/>
      <c r="V143" s="99"/>
    </row>
    <row r="144" spans="1:22" x14ac:dyDescent="0.35">
      <c r="A144" s="101"/>
      <c r="B144" s="47" t="str">
        <f>'5) Year 1-5 Staff Assumptions'!B103</f>
        <v>TCRS Classified Hybrid</v>
      </c>
      <c r="C144" s="61"/>
      <c r="D144" s="61"/>
      <c r="E144" s="130">
        <f>'6) Year 1 Budget'!E106</f>
        <v>0</v>
      </c>
      <c r="F144" s="87">
        <f t="shared" si="44"/>
        <v>0</v>
      </c>
      <c r="G144" s="87">
        <f t="shared" si="43"/>
        <v>0</v>
      </c>
      <c r="H144" s="87">
        <f t="shared" si="43"/>
        <v>0</v>
      </c>
      <c r="I144" s="87">
        <f t="shared" si="43"/>
        <v>0</v>
      </c>
      <c r="J144" s="87">
        <f t="shared" si="43"/>
        <v>0</v>
      </c>
      <c r="K144" s="87">
        <f t="shared" si="43"/>
        <v>0</v>
      </c>
      <c r="L144" s="87">
        <f t="shared" si="43"/>
        <v>0</v>
      </c>
      <c r="M144" s="87">
        <f t="shared" si="43"/>
        <v>0</v>
      </c>
      <c r="N144" s="87">
        <f t="shared" si="43"/>
        <v>0</v>
      </c>
      <c r="O144" s="87">
        <f t="shared" si="43"/>
        <v>0</v>
      </c>
      <c r="P144" s="87">
        <f t="shared" si="43"/>
        <v>0</v>
      </c>
      <c r="Q144" s="87">
        <f t="shared" si="43"/>
        <v>0</v>
      </c>
      <c r="R144" s="78">
        <f>SUM(F144:Q144)</f>
        <v>0</v>
      </c>
      <c r="S144" s="78">
        <f>E144-R144</f>
        <v>0</v>
      </c>
      <c r="T144" s="166"/>
      <c r="U144" s="97"/>
      <c r="V144" s="99"/>
    </row>
    <row r="145" spans="1:22" x14ac:dyDescent="0.35">
      <c r="A145" s="105"/>
      <c r="B145" s="47" t="str">
        <f>'5) Year 1-5 Staff Assumptions'!B104</f>
        <v>Other Classified Retirement</v>
      </c>
      <c r="C145" s="61"/>
      <c r="D145" s="61"/>
      <c r="E145" s="130">
        <f>'6) Year 1 Budget'!E107</f>
        <v>0</v>
      </c>
      <c r="F145" s="87">
        <f t="shared" si="44"/>
        <v>0</v>
      </c>
      <c r="G145" s="87">
        <f t="shared" si="43"/>
        <v>0</v>
      </c>
      <c r="H145" s="87">
        <f t="shared" si="43"/>
        <v>0</v>
      </c>
      <c r="I145" s="87">
        <f t="shared" si="43"/>
        <v>0</v>
      </c>
      <c r="J145" s="87">
        <f t="shared" si="43"/>
        <v>0</v>
      </c>
      <c r="K145" s="87">
        <f t="shared" si="43"/>
        <v>0</v>
      </c>
      <c r="L145" s="87">
        <f t="shared" si="43"/>
        <v>0</v>
      </c>
      <c r="M145" s="87">
        <f t="shared" si="43"/>
        <v>0</v>
      </c>
      <c r="N145" s="87">
        <f t="shared" si="43"/>
        <v>0</v>
      </c>
      <c r="O145" s="87">
        <f t="shared" si="43"/>
        <v>0</v>
      </c>
      <c r="P145" s="87">
        <f t="shared" si="43"/>
        <v>0</v>
      </c>
      <c r="Q145" s="87">
        <f t="shared" si="43"/>
        <v>0</v>
      </c>
      <c r="R145" s="78">
        <f t="shared" si="45"/>
        <v>0</v>
      </c>
      <c r="S145" s="78">
        <f t="shared" si="46"/>
        <v>0</v>
      </c>
      <c r="T145" s="166"/>
      <c r="U145" s="97"/>
      <c r="V145" s="99"/>
    </row>
    <row r="146" spans="1:22" x14ac:dyDescent="0.35">
      <c r="A146" s="105"/>
      <c r="B146" s="47" t="str">
        <f>'5) Year 1-5 Staff Assumptions'!B105</f>
        <v>Other Retirement</v>
      </c>
      <c r="C146" s="61"/>
      <c r="D146" s="61"/>
      <c r="E146" s="130">
        <f>'6) Year 1 Budget'!E108</f>
        <v>0</v>
      </c>
      <c r="F146" s="87">
        <f t="shared" si="44"/>
        <v>0</v>
      </c>
      <c r="G146" s="87">
        <f t="shared" si="43"/>
        <v>0</v>
      </c>
      <c r="H146" s="87">
        <f t="shared" si="43"/>
        <v>0</v>
      </c>
      <c r="I146" s="87">
        <f t="shared" si="43"/>
        <v>0</v>
      </c>
      <c r="J146" s="87">
        <f t="shared" si="43"/>
        <v>0</v>
      </c>
      <c r="K146" s="87">
        <f t="shared" si="43"/>
        <v>0</v>
      </c>
      <c r="L146" s="87">
        <f t="shared" si="43"/>
        <v>0</v>
      </c>
      <c r="M146" s="87">
        <f t="shared" si="43"/>
        <v>0</v>
      </c>
      <c r="N146" s="87">
        <f t="shared" si="43"/>
        <v>0</v>
      </c>
      <c r="O146" s="87">
        <f t="shared" si="43"/>
        <v>0</v>
      </c>
      <c r="P146" s="87">
        <f t="shared" si="43"/>
        <v>0</v>
      </c>
      <c r="Q146" s="87">
        <f t="shared" si="43"/>
        <v>0</v>
      </c>
      <c r="R146" s="78">
        <f t="shared" si="45"/>
        <v>0</v>
      </c>
      <c r="S146" s="78">
        <f t="shared" si="46"/>
        <v>0</v>
      </c>
      <c r="T146" s="166"/>
      <c r="U146" s="97"/>
      <c r="V146" s="99"/>
    </row>
    <row r="147" spans="1:22" x14ac:dyDescent="0.35">
      <c r="B147" s="119"/>
      <c r="C147" s="97"/>
      <c r="D147" s="97"/>
      <c r="E147" s="97"/>
      <c r="F147" s="97"/>
      <c r="G147" s="97"/>
      <c r="H147" s="97"/>
      <c r="I147" s="97"/>
      <c r="J147" s="97"/>
      <c r="K147" s="97"/>
      <c r="L147" s="97"/>
      <c r="M147" s="97"/>
      <c r="N147" s="97"/>
      <c r="O147" s="97"/>
      <c r="P147" s="97"/>
      <c r="Q147" s="97"/>
      <c r="R147" s="97"/>
      <c r="S147" s="97"/>
      <c r="T147" s="97"/>
      <c r="U147" s="97"/>
      <c r="V147" s="99"/>
    </row>
    <row r="148" spans="1:22" ht="15" thickBot="1" x14ac:dyDescent="0.4">
      <c r="B148" s="123" t="s">
        <v>122</v>
      </c>
      <c r="C148" s="58"/>
      <c r="D148" s="58"/>
      <c r="E148" s="71">
        <f t="shared" ref="E148:S148" si="47">SUM(E132:E146)</f>
        <v>178883.4</v>
      </c>
      <c r="F148" s="71">
        <f t="shared" si="47"/>
        <v>14906.95</v>
      </c>
      <c r="G148" s="71">
        <f t="shared" si="47"/>
        <v>14906.95</v>
      </c>
      <c r="H148" s="71">
        <f t="shared" si="47"/>
        <v>14906.95</v>
      </c>
      <c r="I148" s="71">
        <f t="shared" si="47"/>
        <v>14906.95</v>
      </c>
      <c r="J148" s="71">
        <f t="shared" si="47"/>
        <v>14906.95</v>
      </c>
      <c r="K148" s="71">
        <f t="shared" si="47"/>
        <v>14906.95</v>
      </c>
      <c r="L148" s="71">
        <f t="shared" si="47"/>
        <v>14906.95</v>
      </c>
      <c r="M148" s="71">
        <f t="shared" si="47"/>
        <v>14906.95</v>
      </c>
      <c r="N148" s="71">
        <f t="shared" si="47"/>
        <v>14906.95</v>
      </c>
      <c r="O148" s="71">
        <f t="shared" si="47"/>
        <v>14906.95</v>
      </c>
      <c r="P148" s="71">
        <f t="shared" si="47"/>
        <v>14906.95</v>
      </c>
      <c r="Q148" s="71">
        <f t="shared" si="47"/>
        <v>14906.95</v>
      </c>
      <c r="R148" s="71">
        <f t="shared" si="47"/>
        <v>178883.4</v>
      </c>
      <c r="S148" s="71">
        <f t="shared" si="47"/>
        <v>0</v>
      </c>
      <c r="T148" s="73"/>
      <c r="U148" s="97"/>
      <c r="V148" s="99"/>
    </row>
    <row r="149" spans="1:22" ht="15.5" thickTop="1" thickBot="1" x14ac:dyDescent="0.4">
      <c r="B149" s="226"/>
      <c r="C149" s="203"/>
      <c r="D149" s="203"/>
      <c r="E149" s="204"/>
      <c r="F149" s="204"/>
      <c r="G149" s="204"/>
      <c r="H149" s="204"/>
      <c r="I149" s="204"/>
      <c r="J149" s="204"/>
      <c r="K149" s="204"/>
      <c r="L149" s="204"/>
      <c r="M149" s="204"/>
      <c r="N149" s="204"/>
      <c r="O149" s="204"/>
      <c r="P149" s="204"/>
      <c r="Q149" s="204"/>
      <c r="R149" s="204"/>
      <c r="S149" s="204"/>
      <c r="T149" s="204"/>
      <c r="U149" s="133"/>
      <c r="V149" s="134"/>
    </row>
    <row r="150" spans="1:22" x14ac:dyDescent="0.35">
      <c r="B150" s="227"/>
      <c r="C150" s="208"/>
      <c r="D150" s="208"/>
      <c r="E150" s="209"/>
      <c r="F150" s="209"/>
      <c r="G150" s="209"/>
      <c r="H150" s="209"/>
      <c r="I150" s="209"/>
      <c r="J150" s="209"/>
      <c r="K150" s="209"/>
      <c r="L150" s="209"/>
      <c r="M150" s="209"/>
      <c r="N150" s="209"/>
      <c r="O150" s="209"/>
      <c r="P150" s="209"/>
      <c r="Q150" s="209"/>
      <c r="R150" s="209"/>
      <c r="S150" s="209"/>
      <c r="T150" s="209"/>
      <c r="U150" s="94"/>
      <c r="V150" s="95"/>
    </row>
    <row r="151" spans="1:22" x14ac:dyDescent="0.35">
      <c r="B151" s="123"/>
      <c r="C151" s="58"/>
      <c r="D151" s="58"/>
      <c r="E151" s="319" t="s">
        <v>128</v>
      </c>
      <c r="F151" s="319"/>
      <c r="G151" s="319"/>
      <c r="H151" s="319"/>
      <c r="I151" s="319"/>
      <c r="J151" s="319"/>
      <c r="K151" s="319"/>
      <c r="L151" s="319"/>
      <c r="M151" s="319"/>
      <c r="N151" s="319"/>
      <c r="O151" s="319"/>
      <c r="P151" s="319"/>
      <c r="Q151" s="319"/>
      <c r="R151" s="319"/>
      <c r="S151" s="319"/>
      <c r="T151" s="73"/>
      <c r="U151" s="97"/>
      <c r="V151" s="99"/>
    </row>
    <row r="152" spans="1:22" x14ac:dyDescent="0.35">
      <c r="B152" s="123"/>
      <c r="C152" s="84"/>
      <c r="D152" s="58"/>
      <c r="E152" s="58"/>
      <c r="F152" s="58"/>
      <c r="G152" s="58"/>
      <c r="H152" s="58"/>
      <c r="I152" s="58"/>
      <c r="J152" s="58"/>
      <c r="K152" s="58"/>
      <c r="L152" s="58"/>
      <c r="M152" s="58"/>
      <c r="N152" s="58"/>
      <c r="O152" s="58"/>
      <c r="P152" s="58"/>
      <c r="Q152" s="58"/>
      <c r="R152" s="58"/>
      <c r="S152" s="58"/>
      <c r="T152" s="73"/>
      <c r="U152" s="58"/>
      <c r="V152" s="99"/>
    </row>
    <row r="153" spans="1:22" x14ac:dyDescent="0.35">
      <c r="B153" s="123"/>
      <c r="C153" s="84"/>
      <c r="D153" s="58"/>
      <c r="E153" s="120" t="str">
        <f>E10</f>
        <v>Year 1</v>
      </c>
      <c r="F153" s="120" t="str">
        <f t="shared" ref="F153:S153" si="48">F10</f>
        <v>Year 1</v>
      </c>
      <c r="G153" s="120" t="str">
        <f t="shared" si="48"/>
        <v>Year 1</v>
      </c>
      <c r="H153" s="120" t="str">
        <f t="shared" si="48"/>
        <v>Year 1</v>
      </c>
      <c r="I153" s="120" t="str">
        <f t="shared" si="48"/>
        <v>Year 1</v>
      </c>
      <c r="J153" s="120" t="str">
        <f t="shared" si="48"/>
        <v>Year 1</v>
      </c>
      <c r="K153" s="120" t="str">
        <f t="shared" si="48"/>
        <v>Year 1</v>
      </c>
      <c r="L153" s="120" t="str">
        <f t="shared" si="48"/>
        <v>Year 1</v>
      </c>
      <c r="M153" s="120" t="str">
        <f t="shared" si="48"/>
        <v>Year 1</v>
      </c>
      <c r="N153" s="120" t="str">
        <f t="shared" si="48"/>
        <v>Year 1</v>
      </c>
      <c r="O153" s="120" t="str">
        <f t="shared" si="48"/>
        <v>Year 1</v>
      </c>
      <c r="P153" s="120" t="str">
        <f t="shared" si="48"/>
        <v>Year 1</v>
      </c>
      <c r="Q153" s="120" t="str">
        <f t="shared" si="48"/>
        <v>Year 1</v>
      </c>
      <c r="R153" s="120" t="str">
        <f t="shared" si="48"/>
        <v>Year 1</v>
      </c>
      <c r="S153" s="120" t="str">
        <f t="shared" si="48"/>
        <v>Year 1</v>
      </c>
      <c r="T153" s="73"/>
      <c r="U153" s="58"/>
      <c r="V153" s="99"/>
    </row>
    <row r="154" spans="1:22" x14ac:dyDescent="0.35">
      <c r="B154" s="123"/>
      <c r="C154" s="84"/>
      <c r="D154" s="58"/>
      <c r="E154" s="104" t="str">
        <f>E11</f>
        <v>2021-22</v>
      </c>
      <c r="F154" s="104" t="str">
        <f t="shared" ref="F154:S154" si="49">F11</f>
        <v>2021-22</v>
      </c>
      <c r="G154" s="104" t="str">
        <f t="shared" si="49"/>
        <v>2021-22</v>
      </c>
      <c r="H154" s="104" t="str">
        <f t="shared" si="49"/>
        <v>2021-22</v>
      </c>
      <c r="I154" s="104" t="str">
        <f t="shared" si="49"/>
        <v>2021-22</v>
      </c>
      <c r="J154" s="104" t="str">
        <f t="shared" si="49"/>
        <v>2021-22</v>
      </c>
      <c r="K154" s="104" t="str">
        <f t="shared" si="49"/>
        <v>2021-22</v>
      </c>
      <c r="L154" s="104" t="str">
        <f t="shared" si="49"/>
        <v>2021-22</v>
      </c>
      <c r="M154" s="104" t="str">
        <f t="shared" si="49"/>
        <v>2021-22</v>
      </c>
      <c r="N154" s="104" t="str">
        <f t="shared" si="49"/>
        <v>2021-22</v>
      </c>
      <c r="O154" s="104" t="str">
        <f t="shared" si="49"/>
        <v>2021-22</v>
      </c>
      <c r="P154" s="104" t="str">
        <f t="shared" si="49"/>
        <v>2021-22</v>
      </c>
      <c r="Q154" s="104" t="str">
        <f t="shared" si="49"/>
        <v>2021-22</v>
      </c>
      <c r="R154" s="104" t="str">
        <f t="shared" si="49"/>
        <v>2021-22</v>
      </c>
      <c r="S154" s="104" t="str">
        <f t="shared" si="49"/>
        <v>2021-22</v>
      </c>
      <c r="T154" s="122"/>
      <c r="U154" s="58"/>
      <c r="V154" s="99"/>
    </row>
    <row r="155" spans="1:22" x14ac:dyDescent="0.35">
      <c r="A155" s="101"/>
      <c r="B155" s="47"/>
      <c r="C155" s="84"/>
      <c r="D155" s="2"/>
      <c r="E155" s="104" t="str">
        <f>E12</f>
        <v>Total Budget</v>
      </c>
      <c r="F155" s="104" t="str">
        <f t="shared" ref="F155:S155" si="50">F12</f>
        <v>July</v>
      </c>
      <c r="G155" s="104" t="str">
        <f t="shared" si="50"/>
        <v>August</v>
      </c>
      <c r="H155" s="104" t="str">
        <f t="shared" si="50"/>
        <v>September</v>
      </c>
      <c r="I155" s="104" t="str">
        <f t="shared" si="50"/>
        <v>October</v>
      </c>
      <c r="J155" s="104" t="str">
        <f t="shared" si="50"/>
        <v>November</v>
      </c>
      <c r="K155" s="104" t="str">
        <f t="shared" si="50"/>
        <v>December</v>
      </c>
      <c r="L155" s="104" t="str">
        <f t="shared" si="50"/>
        <v>January</v>
      </c>
      <c r="M155" s="104" t="str">
        <f t="shared" si="50"/>
        <v>February</v>
      </c>
      <c r="N155" s="104" t="str">
        <f t="shared" si="50"/>
        <v>March</v>
      </c>
      <c r="O155" s="104" t="str">
        <f t="shared" si="50"/>
        <v>April</v>
      </c>
      <c r="P155" s="104" t="str">
        <f t="shared" si="50"/>
        <v>May</v>
      </c>
      <c r="Q155" s="104" t="str">
        <f t="shared" si="50"/>
        <v>June</v>
      </c>
      <c r="R155" s="104" t="str">
        <f t="shared" si="50"/>
        <v>Total</v>
      </c>
      <c r="S155" s="104" t="str">
        <f t="shared" si="50"/>
        <v>AR/AP</v>
      </c>
      <c r="T155" s="60"/>
      <c r="U155" s="97"/>
      <c r="V155" s="99"/>
    </row>
    <row r="156" spans="1:22" hidden="1" x14ac:dyDescent="0.35">
      <c r="A156" s="101"/>
      <c r="B156" s="47"/>
      <c r="C156" s="105"/>
      <c r="D156" s="2"/>
      <c r="E156" s="107" t="e">
        <f>100%+E155</f>
        <v>#VALUE!</v>
      </c>
      <c r="F156" s="107" t="e">
        <f>E156*(1+F155)</f>
        <v>#VALUE!</v>
      </c>
      <c r="G156" s="107" t="e">
        <f t="shared" ref="G156:M156" si="51">F156*(1+G155)</f>
        <v>#VALUE!</v>
      </c>
      <c r="H156" s="107" t="e">
        <f t="shared" si="51"/>
        <v>#VALUE!</v>
      </c>
      <c r="I156" s="107" t="e">
        <f t="shared" si="51"/>
        <v>#VALUE!</v>
      </c>
      <c r="J156" s="107" t="e">
        <f t="shared" si="51"/>
        <v>#VALUE!</v>
      </c>
      <c r="K156" s="107" t="e">
        <f t="shared" si="51"/>
        <v>#VALUE!</v>
      </c>
      <c r="L156" s="107" t="e">
        <f t="shared" si="51"/>
        <v>#VALUE!</v>
      </c>
      <c r="M156" s="107" t="e">
        <f t="shared" si="51"/>
        <v>#VALUE!</v>
      </c>
      <c r="N156" s="107"/>
      <c r="O156" s="107"/>
      <c r="P156" s="107"/>
      <c r="Q156" s="107"/>
      <c r="R156" s="107"/>
      <c r="S156" s="107" t="e">
        <f>M156*(1+S155)</f>
        <v>#VALUE!</v>
      </c>
      <c r="T156" s="107"/>
      <c r="U156" s="97"/>
      <c r="V156" s="99"/>
    </row>
    <row r="157" spans="1:22" x14ac:dyDescent="0.35">
      <c r="B157" s="123"/>
      <c r="C157" s="84"/>
      <c r="D157" s="58"/>
      <c r="E157" s="73"/>
      <c r="F157" s="73"/>
      <c r="G157" s="73"/>
      <c r="H157" s="73"/>
      <c r="I157" s="73"/>
      <c r="J157" s="73"/>
      <c r="K157" s="73"/>
      <c r="L157" s="73"/>
      <c r="M157" s="73"/>
      <c r="N157" s="73"/>
      <c r="O157" s="73"/>
      <c r="P157" s="73"/>
      <c r="Q157" s="73"/>
      <c r="R157" s="73"/>
      <c r="S157" s="73"/>
      <c r="T157" s="73"/>
      <c r="U157" s="97"/>
      <c r="V157" s="99"/>
    </row>
    <row r="158" spans="1:22" x14ac:dyDescent="0.35">
      <c r="B158" s="123" t="s">
        <v>123</v>
      </c>
      <c r="C158" s="84"/>
      <c r="D158" s="58"/>
      <c r="E158" s="73"/>
      <c r="F158" s="73"/>
      <c r="G158" s="73"/>
      <c r="H158" s="73"/>
      <c r="I158" s="73"/>
      <c r="J158" s="73"/>
      <c r="K158" s="73"/>
      <c r="L158" s="73"/>
      <c r="M158" s="73"/>
      <c r="N158" s="73"/>
      <c r="O158" s="73"/>
      <c r="P158" s="73"/>
      <c r="Q158" s="73"/>
      <c r="R158" s="73"/>
      <c r="S158" s="73"/>
      <c r="T158" s="63" t="s">
        <v>133</v>
      </c>
      <c r="U158" s="97"/>
      <c r="V158" s="99"/>
    </row>
    <row r="159" spans="1:22" x14ac:dyDescent="0.35">
      <c r="B159" s="47" t="str">
        <f>'6) Year 1 Budget'!B121</f>
        <v>Professional Development</v>
      </c>
      <c r="C159" s="131"/>
      <c r="D159" s="97"/>
      <c r="E159" s="115">
        <f>'6) Year 1 Budget'!E121</f>
        <v>45000</v>
      </c>
      <c r="F159" s="87">
        <v>45000</v>
      </c>
      <c r="G159" s="87">
        <v>0</v>
      </c>
      <c r="H159" s="87">
        <v>0</v>
      </c>
      <c r="I159" s="87">
        <v>0</v>
      </c>
      <c r="J159" s="87">
        <v>0</v>
      </c>
      <c r="K159" s="87">
        <v>0</v>
      </c>
      <c r="L159" s="87">
        <v>0</v>
      </c>
      <c r="M159" s="87">
        <v>0</v>
      </c>
      <c r="N159" s="87">
        <v>0</v>
      </c>
      <c r="O159" s="87">
        <v>0</v>
      </c>
      <c r="P159" s="87">
        <v>0</v>
      </c>
      <c r="Q159" s="87">
        <v>0</v>
      </c>
      <c r="R159" s="78">
        <f>SUM(F159:Q159)</f>
        <v>45000</v>
      </c>
      <c r="S159" s="78">
        <f>E159-R159</f>
        <v>0</v>
      </c>
      <c r="T159" s="165" t="s">
        <v>449</v>
      </c>
      <c r="U159" s="97"/>
      <c r="V159" s="99"/>
    </row>
    <row r="160" spans="1:22" x14ac:dyDescent="0.35">
      <c r="B160" s="47" t="str">
        <f>'6) Year 1 Budget'!B122</f>
        <v>Financial Services</v>
      </c>
      <c r="C160" s="131"/>
      <c r="D160" s="97"/>
      <c r="E160" s="115">
        <f>'6) Year 1 Budget'!E122</f>
        <v>55200</v>
      </c>
      <c r="F160" s="87">
        <f t="shared" ref="F160:Q173" si="52">$E160/12</f>
        <v>4600</v>
      </c>
      <c r="G160" s="87">
        <f t="shared" ref="G160:Q173" si="53">$E160/12</f>
        <v>4600</v>
      </c>
      <c r="H160" s="87">
        <f t="shared" si="53"/>
        <v>4600</v>
      </c>
      <c r="I160" s="87">
        <f t="shared" si="53"/>
        <v>4600</v>
      </c>
      <c r="J160" s="87">
        <f t="shared" si="53"/>
        <v>4600</v>
      </c>
      <c r="K160" s="87">
        <f t="shared" si="53"/>
        <v>4600</v>
      </c>
      <c r="L160" s="87">
        <f t="shared" si="53"/>
        <v>4600</v>
      </c>
      <c r="M160" s="87">
        <f t="shared" si="53"/>
        <v>4600</v>
      </c>
      <c r="N160" s="87">
        <f t="shared" si="53"/>
        <v>4600</v>
      </c>
      <c r="O160" s="87">
        <f t="shared" si="53"/>
        <v>4600</v>
      </c>
      <c r="P160" s="87">
        <f t="shared" si="53"/>
        <v>4600</v>
      </c>
      <c r="Q160" s="87">
        <f t="shared" si="53"/>
        <v>4600</v>
      </c>
      <c r="R160" s="78">
        <f>SUM(F160:Q160)</f>
        <v>55200</v>
      </c>
      <c r="S160" s="78">
        <f>E160-R160</f>
        <v>0</v>
      </c>
      <c r="T160" s="165" t="s">
        <v>450</v>
      </c>
      <c r="U160" s="97"/>
      <c r="V160" s="99"/>
    </row>
    <row r="161" spans="2:22" x14ac:dyDescent="0.35">
      <c r="B161" s="47" t="str">
        <f>'6) Year 1 Budget'!B123</f>
        <v>Audit Services</v>
      </c>
      <c r="C161" s="131"/>
      <c r="D161" s="97"/>
      <c r="E161" s="115">
        <f>'6) Year 1 Budget'!E123</f>
        <v>10000</v>
      </c>
      <c r="F161" s="87">
        <v>0</v>
      </c>
      <c r="G161" s="87">
        <v>0</v>
      </c>
      <c r="H161" s="87">
        <v>0</v>
      </c>
      <c r="I161" s="87">
        <v>0</v>
      </c>
      <c r="J161" s="87">
        <v>0</v>
      </c>
      <c r="K161" s="87">
        <v>0</v>
      </c>
      <c r="L161" s="87">
        <v>0</v>
      </c>
      <c r="M161" s="87">
        <v>0</v>
      </c>
      <c r="N161" s="87">
        <v>0</v>
      </c>
      <c r="O161" s="87">
        <v>0</v>
      </c>
      <c r="P161" s="87">
        <v>0</v>
      </c>
      <c r="Q161" s="87">
        <f>E161</f>
        <v>10000</v>
      </c>
      <c r="R161" s="78">
        <f>SUM(F161:Q161)</f>
        <v>10000</v>
      </c>
      <c r="S161" s="78">
        <f>E161-R161</f>
        <v>0</v>
      </c>
      <c r="T161" s="165" t="s">
        <v>451</v>
      </c>
      <c r="U161" s="97"/>
      <c r="V161" s="99"/>
    </row>
    <row r="162" spans="2:22" x14ac:dyDescent="0.35">
      <c r="B162" s="47" t="str">
        <f>'6) Year 1 Budget'!B124</f>
        <v>Legal Fees</v>
      </c>
      <c r="C162" s="131"/>
      <c r="D162" s="97"/>
      <c r="E162" s="115">
        <f>'6) Year 1 Budget'!E124</f>
        <v>2500</v>
      </c>
      <c r="F162" s="87">
        <v>2500</v>
      </c>
      <c r="G162" s="87"/>
      <c r="H162" s="87"/>
      <c r="I162" s="87"/>
      <c r="J162" s="87"/>
      <c r="K162" s="87"/>
      <c r="L162" s="87"/>
      <c r="M162" s="87"/>
      <c r="N162" s="87"/>
      <c r="O162" s="87"/>
      <c r="P162" s="87"/>
      <c r="Q162" s="87"/>
      <c r="R162" s="78">
        <f t="shared" ref="R162:R168" si="54">SUM(F162:Q162)</f>
        <v>2500</v>
      </c>
      <c r="S162" s="78">
        <f t="shared" ref="S162:S168" si="55">E162-R162</f>
        <v>0</v>
      </c>
      <c r="T162" s="165" t="s">
        <v>452</v>
      </c>
      <c r="U162" s="97"/>
      <c r="V162" s="99"/>
    </row>
    <row r="163" spans="2:22" x14ac:dyDescent="0.35">
      <c r="B163" s="47" t="str">
        <f>'6) Year 1 Budget'!B125</f>
        <v>Copier Lease and Usage</v>
      </c>
      <c r="C163" s="131"/>
      <c r="D163" s="97"/>
      <c r="E163" s="115">
        <f>'6) Year 1 Budget'!E125</f>
        <v>16800</v>
      </c>
      <c r="F163" s="87">
        <f t="shared" si="52"/>
        <v>1400</v>
      </c>
      <c r="G163" s="87">
        <f t="shared" si="52"/>
        <v>1400</v>
      </c>
      <c r="H163" s="87">
        <f t="shared" si="52"/>
        <v>1400</v>
      </c>
      <c r="I163" s="87">
        <f t="shared" si="52"/>
        <v>1400</v>
      </c>
      <c r="J163" s="87">
        <f t="shared" si="52"/>
        <v>1400</v>
      </c>
      <c r="K163" s="87">
        <f t="shared" si="52"/>
        <v>1400</v>
      </c>
      <c r="L163" s="87">
        <f t="shared" si="52"/>
        <v>1400</v>
      </c>
      <c r="M163" s="87">
        <f t="shared" si="52"/>
        <v>1400</v>
      </c>
      <c r="N163" s="87">
        <f t="shared" si="52"/>
        <v>1400</v>
      </c>
      <c r="O163" s="87">
        <f t="shared" si="52"/>
        <v>1400</v>
      </c>
      <c r="P163" s="87">
        <f t="shared" si="52"/>
        <v>1400</v>
      </c>
      <c r="Q163" s="87">
        <f t="shared" si="52"/>
        <v>1400</v>
      </c>
      <c r="R163" s="78">
        <f t="shared" si="54"/>
        <v>16800</v>
      </c>
      <c r="S163" s="78">
        <f t="shared" si="55"/>
        <v>0</v>
      </c>
      <c r="T163" s="165" t="s">
        <v>453</v>
      </c>
      <c r="U163" s="97"/>
      <c r="V163" s="99"/>
    </row>
    <row r="164" spans="2:22" x14ac:dyDescent="0.35">
      <c r="B164" s="47" t="str">
        <f>'6) Year 1 Budget'!B126</f>
        <v>Internet and Phone Service</v>
      </c>
      <c r="C164" s="131"/>
      <c r="D164" s="97"/>
      <c r="E164" s="115">
        <f>'6) Year 1 Budget'!E126</f>
        <v>2400</v>
      </c>
      <c r="F164" s="87">
        <f t="shared" si="52"/>
        <v>200</v>
      </c>
      <c r="G164" s="87">
        <f t="shared" si="53"/>
        <v>200</v>
      </c>
      <c r="H164" s="87">
        <f t="shared" si="53"/>
        <v>200</v>
      </c>
      <c r="I164" s="87">
        <f t="shared" si="53"/>
        <v>200</v>
      </c>
      <c r="J164" s="87">
        <f t="shared" si="53"/>
        <v>200</v>
      </c>
      <c r="K164" s="87">
        <f t="shared" si="53"/>
        <v>200</v>
      </c>
      <c r="L164" s="87">
        <f t="shared" si="53"/>
        <v>200</v>
      </c>
      <c r="M164" s="87">
        <f t="shared" si="53"/>
        <v>200</v>
      </c>
      <c r="N164" s="87">
        <f t="shared" si="53"/>
        <v>200</v>
      </c>
      <c r="O164" s="87">
        <f t="shared" si="53"/>
        <v>200</v>
      </c>
      <c r="P164" s="87">
        <f t="shared" si="53"/>
        <v>200</v>
      </c>
      <c r="Q164" s="87">
        <f t="shared" si="53"/>
        <v>200</v>
      </c>
      <c r="R164" s="78">
        <f t="shared" si="54"/>
        <v>2400</v>
      </c>
      <c r="S164" s="78">
        <f t="shared" si="55"/>
        <v>0</v>
      </c>
      <c r="T164" s="165" t="s">
        <v>454</v>
      </c>
      <c r="U164" s="97"/>
      <c r="V164" s="99"/>
    </row>
    <row r="165" spans="2:22" x14ac:dyDescent="0.35">
      <c r="B165" s="47" t="str">
        <f>'6) Year 1 Budget'!B127</f>
        <v>Cell Phone Service</v>
      </c>
      <c r="C165" s="131"/>
      <c r="D165" s="97"/>
      <c r="E165" s="115">
        <f>'6) Year 1 Budget'!E127</f>
        <v>600</v>
      </c>
      <c r="F165" s="87">
        <f t="shared" si="52"/>
        <v>50</v>
      </c>
      <c r="G165" s="87">
        <f t="shared" si="53"/>
        <v>50</v>
      </c>
      <c r="H165" s="87">
        <f t="shared" si="53"/>
        <v>50</v>
      </c>
      <c r="I165" s="87">
        <f t="shared" si="53"/>
        <v>50</v>
      </c>
      <c r="J165" s="87">
        <f t="shared" si="53"/>
        <v>50</v>
      </c>
      <c r="K165" s="87">
        <f t="shared" si="53"/>
        <v>50</v>
      </c>
      <c r="L165" s="87">
        <f t="shared" si="53"/>
        <v>50</v>
      </c>
      <c r="M165" s="87">
        <f t="shared" si="53"/>
        <v>50</v>
      </c>
      <c r="N165" s="87">
        <f t="shared" si="53"/>
        <v>50</v>
      </c>
      <c r="O165" s="87">
        <f t="shared" si="53"/>
        <v>50</v>
      </c>
      <c r="P165" s="87">
        <f t="shared" si="53"/>
        <v>50</v>
      </c>
      <c r="Q165" s="87">
        <f t="shared" si="53"/>
        <v>50</v>
      </c>
      <c r="R165" s="78">
        <f t="shared" si="54"/>
        <v>600</v>
      </c>
      <c r="S165" s="78">
        <f t="shared" si="55"/>
        <v>0</v>
      </c>
      <c r="T165" s="165" t="s">
        <v>455</v>
      </c>
      <c r="U165" s="97"/>
      <c r="V165" s="99"/>
    </row>
    <row r="166" spans="2:22" x14ac:dyDescent="0.35">
      <c r="B166" s="47" t="str">
        <f>'6) Year 1 Budget'!B128</f>
        <v>Payroll Services</v>
      </c>
      <c r="C166" s="131"/>
      <c r="D166" s="97"/>
      <c r="E166" s="115">
        <f>'6) Year 1 Budget'!E128</f>
        <v>3600</v>
      </c>
      <c r="F166" s="87">
        <f t="shared" si="52"/>
        <v>300</v>
      </c>
      <c r="G166" s="87">
        <f t="shared" si="53"/>
        <v>300</v>
      </c>
      <c r="H166" s="87">
        <f t="shared" si="53"/>
        <v>300</v>
      </c>
      <c r="I166" s="87">
        <f t="shared" si="53"/>
        <v>300</v>
      </c>
      <c r="J166" s="87">
        <f t="shared" si="53"/>
        <v>300</v>
      </c>
      <c r="K166" s="87">
        <f t="shared" si="53"/>
        <v>300</v>
      </c>
      <c r="L166" s="87">
        <f t="shared" si="53"/>
        <v>300</v>
      </c>
      <c r="M166" s="87">
        <f t="shared" si="53"/>
        <v>300</v>
      </c>
      <c r="N166" s="87">
        <f t="shared" si="53"/>
        <v>300</v>
      </c>
      <c r="O166" s="87">
        <f t="shared" si="53"/>
        <v>300</v>
      </c>
      <c r="P166" s="87">
        <f t="shared" si="53"/>
        <v>300</v>
      </c>
      <c r="Q166" s="87">
        <f t="shared" si="53"/>
        <v>300</v>
      </c>
      <c r="R166" s="78">
        <f t="shared" si="54"/>
        <v>3600</v>
      </c>
      <c r="S166" s="78">
        <f t="shared" si="55"/>
        <v>0</v>
      </c>
      <c r="T166" s="165" t="s">
        <v>456</v>
      </c>
      <c r="U166" s="97"/>
      <c r="V166" s="99"/>
    </row>
    <row r="167" spans="2:22" x14ac:dyDescent="0.35">
      <c r="B167" s="47" t="str">
        <f>'6) Year 1 Budget'!B129</f>
        <v>Health Services</v>
      </c>
      <c r="C167" s="131"/>
      <c r="D167" s="97"/>
      <c r="E167" s="115">
        <f>'6) Year 1 Budget'!E129</f>
        <v>1800</v>
      </c>
      <c r="F167" s="87">
        <v>0</v>
      </c>
      <c r="G167" s="87">
        <f>$E167/10</f>
        <v>180</v>
      </c>
      <c r="H167" s="87">
        <f>$E167/10</f>
        <v>180</v>
      </c>
      <c r="I167" s="87">
        <f t="shared" ref="I167:P168" si="56">$E167/10</f>
        <v>180</v>
      </c>
      <c r="J167" s="87">
        <f t="shared" si="56"/>
        <v>180</v>
      </c>
      <c r="K167" s="87">
        <f t="shared" si="56"/>
        <v>180</v>
      </c>
      <c r="L167" s="87">
        <f t="shared" si="56"/>
        <v>180</v>
      </c>
      <c r="M167" s="87">
        <f t="shared" si="56"/>
        <v>180</v>
      </c>
      <c r="N167" s="87">
        <f t="shared" si="56"/>
        <v>180</v>
      </c>
      <c r="O167" s="87">
        <f t="shared" si="56"/>
        <v>180</v>
      </c>
      <c r="P167" s="87">
        <f t="shared" si="56"/>
        <v>180</v>
      </c>
      <c r="Q167" s="87">
        <v>0</v>
      </c>
      <c r="R167" s="78">
        <f t="shared" si="54"/>
        <v>1800</v>
      </c>
      <c r="S167" s="78">
        <f t="shared" si="55"/>
        <v>0</v>
      </c>
      <c r="T167" s="165" t="s">
        <v>457</v>
      </c>
      <c r="U167" s="97"/>
      <c r="V167" s="99"/>
    </row>
    <row r="168" spans="2:22" ht="29" x14ac:dyDescent="0.35">
      <c r="B168" s="47" t="str">
        <f>'6) Year 1 Budget'!B130</f>
        <v>Transportation</v>
      </c>
      <c r="C168" s="131"/>
      <c r="D168" s="97"/>
      <c r="E168" s="115">
        <f>'6) Year 1 Budget'!E130</f>
        <v>45000</v>
      </c>
      <c r="F168" s="87">
        <v>0</v>
      </c>
      <c r="G168" s="87">
        <f>$E168/10</f>
        <v>4500</v>
      </c>
      <c r="H168" s="87">
        <f>$E168/10</f>
        <v>4500</v>
      </c>
      <c r="I168" s="87">
        <f t="shared" si="56"/>
        <v>4500</v>
      </c>
      <c r="J168" s="87">
        <f t="shared" si="56"/>
        <v>4500</v>
      </c>
      <c r="K168" s="87">
        <f t="shared" si="56"/>
        <v>4500</v>
      </c>
      <c r="L168" s="87">
        <f t="shared" si="56"/>
        <v>4500</v>
      </c>
      <c r="M168" s="87">
        <f t="shared" si="56"/>
        <v>4500</v>
      </c>
      <c r="N168" s="87">
        <f t="shared" si="56"/>
        <v>4500</v>
      </c>
      <c r="O168" s="87">
        <f t="shared" si="56"/>
        <v>4500</v>
      </c>
      <c r="P168" s="87">
        <f t="shared" si="56"/>
        <v>4500</v>
      </c>
      <c r="Q168" s="87">
        <v>0</v>
      </c>
      <c r="R168" s="78">
        <f t="shared" si="54"/>
        <v>45000</v>
      </c>
      <c r="S168" s="78">
        <f t="shared" si="55"/>
        <v>0</v>
      </c>
      <c r="T168" s="261" t="s">
        <v>458</v>
      </c>
      <c r="U168" s="97"/>
      <c r="V168" s="99"/>
    </row>
    <row r="169" spans="2:22" x14ac:dyDescent="0.35">
      <c r="B169" s="47" t="str">
        <f>'6) Year 1 Budget'!B131</f>
        <v>IT Services</v>
      </c>
      <c r="C169" s="131"/>
      <c r="D169" s="97"/>
      <c r="E169" s="115">
        <f>'6) Year 1 Budget'!E131</f>
        <v>9600</v>
      </c>
      <c r="F169" s="87">
        <f t="shared" si="52"/>
        <v>800</v>
      </c>
      <c r="G169" s="87">
        <f t="shared" si="53"/>
        <v>800</v>
      </c>
      <c r="H169" s="87">
        <f t="shared" si="53"/>
        <v>800</v>
      </c>
      <c r="I169" s="87">
        <f t="shared" si="53"/>
        <v>800</v>
      </c>
      <c r="J169" s="87">
        <f t="shared" si="53"/>
        <v>800</v>
      </c>
      <c r="K169" s="87">
        <f t="shared" si="53"/>
        <v>800</v>
      </c>
      <c r="L169" s="87">
        <f t="shared" si="53"/>
        <v>800</v>
      </c>
      <c r="M169" s="87">
        <f t="shared" si="53"/>
        <v>800</v>
      </c>
      <c r="N169" s="87">
        <f t="shared" si="53"/>
        <v>800</v>
      </c>
      <c r="O169" s="87">
        <f t="shared" si="53"/>
        <v>800</v>
      </c>
      <c r="P169" s="87">
        <f t="shared" si="53"/>
        <v>800</v>
      </c>
      <c r="Q169" s="87">
        <f t="shared" si="53"/>
        <v>800</v>
      </c>
      <c r="R169" s="78">
        <f>SUM(F169:Q169)</f>
        <v>9600</v>
      </c>
      <c r="S169" s="78">
        <f>E169-R169</f>
        <v>0</v>
      </c>
      <c r="T169" s="165" t="s">
        <v>459</v>
      </c>
      <c r="U169" s="97"/>
      <c r="V169" s="99"/>
    </row>
    <row r="170" spans="2:22" ht="29" x14ac:dyDescent="0.35">
      <c r="B170" s="47" t="str">
        <f>'6) Year 1 Budget'!B132</f>
        <v>Contracted SPED Services</v>
      </c>
      <c r="C170" s="131"/>
      <c r="D170" s="97"/>
      <c r="E170" s="115">
        <f>'6) Year 1 Budget'!E132</f>
        <v>16000</v>
      </c>
      <c r="F170" s="87">
        <v>0</v>
      </c>
      <c r="G170" s="87">
        <f t="shared" ref="G170:P170" si="57">$E170/10</f>
        <v>1600</v>
      </c>
      <c r="H170" s="87">
        <f t="shared" si="57"/>
        <v>1600</v>
      </c>
      <c r="I170" s="87">
        <f t="shared" si="57"/>
        <v>1600</v>
      </c>
      <c r="J170" s="87">
        <f t="shared" si="57"/>
        <v>1600</v>
      </c>
      <c r="K170" s="87">
        <f t="shared" si="57"/>
        <v>1600</v>
      </c>
      <c r="L170" s="87">
        <f t="shared" si="57"/>
        <v>1600</v>
      </c>
      <c r="M170" s="87">
        <f t="shared" si="57"/>
        <v>1600</v>
      </c>
      <c r="N170" s="87">
        <f t="shared" si="57"/>
        <v>1600</v>
      </c>
      <c r="O170" s="87">
        <f t="shared" si="57"/>
        <v>1600</v>
      </c>
      <c r="P170" s="87">
        <f t="shared" si="57"/>
        <v>1600</v>
      </c>
      <c r="Q170" s="87">
        <v>0</v>
      </c>
      <c r="R170" s="78">
        <f>SUM(F170:Q170)</f>
        <v>16000</v>
      </c>
      <c r="S170" s="78">
        <f>E170-R170</f>
        <v>0</v>
      </c>
      <c r="T170" s="261" t="s">
        <v>460</v>
      </c>
      <c r="U170" s="97"/>
      <c r="V170" s="99"/>
    </row>
    <row r="171" spans="2:22" x14ac:dyDescent="0.35">
      <c r="B171" s="47" t="str">
        <f>'6) Year 1 Budget'!B133</f>
        <v>Insurance</v>
      </c>
      <c r="C171" s="131"/>
      <c r="D171" s="97"/>
      <c r="E171" s="115">
        <f>'6) Year 1 Budget'!E133</f>
        <v>15000</v>
      </c>
      <c r="F171" s="87">
        <f t="shared" si="52"/>
        <v>1250</v>
      </c>
      <c r="G171" s="87">
        <f t="shared" si="53"/>
        <v>1250</v>
      </c>
      <c r="H171" s="87">
        <f t="shared" si="53"/>
        <v>1250</v>
      </c>
      <c r="I171" s="87">
        <f t="shared" si="53"/>
        <v>1250</v>
      </c>
      <c r="J171" s="87">
        <f t="shared" si="53"/>
        <v>1250</v>
      </c>
      <c r="K171" s="87">
        <f t="shared" si="53"/>
        <v>1250</v>
      </c>
      <c r="L171" s="87">
        <f t="shared" si="53"/>
        <v>1250</v>
      </c>
      <c r="M171" s="87">
        <f t="shared" si="53"/>
        <v>1250</v>
      </c>
      <c r="N171" s="87">
        <f t="shared" si="53"/>
        <v>1250</v>
      </c>
      <c r="O171" s="87">
        <f t="shared" si="53"/>
        <v>1250</v>
      </c>
      <c r="P171" s="87">
        <f t="shared" si="53"/>
        <v>1250</v>
      </c>
      <c r="Q171" s="87">
        <f t="shared" si="53"/>
        <v>1250</v>
      </c>
      <c r="R171" s="78">
        <f>SUM(F171:Q171)</f>
        <v>15000</v>
      </c>
      <c r="S171" s="78">
        <f>E171-R171</f>
        <v>0</v>
      </c>
      <c r="T171" s="165" t="s">
        <v>461</v>
      </c>
      <c r="U171" s="97"/>
      <c r="V171" s="99"/>
    </row>
    <row r="172" spans="2:22" x14ac:dyDescent="0.35">
      <c r="B172" s="47" t="str">
        <f>'6) Year 1 Budget'!B134</f>
        <v>Postal Charges</v>
      </c>
      <c r="C172" s="131"/>
      <c r="D172" s="97"/>
      <c r="E172" s="115">
        <f>'6) Year 1 Budget'!E134</f>
        <v>240</v>
      </c>
      <c r="F172" s="87">
        <f t="shared" si="52"/>
        <v>20</v>
      </c>
      <c r="G172" s="87">
        <f t="shared" si="53"/>
        <v>20</v>
      </c>
      <c r="H172" s="87">
        <f t="shared" si="53"/>
        <v>20</v>
      </c>
      <c r="I172" s="87">
        <f t="shared" si="53"/>
        <v>20</v>
      </c>
      <c r="J172" s="87">
        <f t="shared" si="53"/>
        <v>20</v>
      </c>
      <c r="K172" s="87">
        <f t="shared" si="53"/>
        <v>20</v>
      </c>
      <c r="L172" s="87">
        <f t="shared" si="53"/>
        <v>20</v>
      </c>
      <c r="M172" s="87">
        <f t="shared" si="53"/>
        <v>20</v>
      </c>
      <c r="N172" s="87">
        <f t="shared" si="53"/>
        <v>20</v>
      </c>
      <c r="O172" s="87">
        <f t="shared" si="53"/>
        <v>20</v>
      </c>
      <c r="P172" s="87">
        <f t="shared" si="53"/>
        <v>20</v>
      </c>
      <c r="Q172" s="87">
        <f t="shared" si="53"/>
        <v>20</v>
      </c>
      <c r="R172" s="78">
        <f>SUM(F172:Q172)</f>
        <v>240</v>
      </c>
      <c r="S172" s="78">
        <f>E172-R172</f>
        <v>0</v>
      </c>
      <c r="T172" s="165" t="s">
        <v>462</v>
      </c>
      <c r="U172" s="97"/>
      <c r="V172" s="99"/>
    </row>
    <row r="173" spans="2:22" x14ac:dyDescent="0.35">
      <c r="B173" s="47" t="str">
        <f>'6) Year 1 Budget'!B135</f>
        <v>Bank Charges</v>
      </c>
      <c r="C173" s="131"/>
      <c r="D173" s="97"/>
      <c r="E173" s="115">
        <f>'6) Year 1 Budget'!E135</f>
        <v>240</v>
      </c>
      <c r="F173" s="87">
        <f t="shared" si="52"/>
        <v>20</v>
      </c>
      <c r="G173" s="87">
        <f t="shared" si="53"/>
        <v>20</v>
      </c>
      <c r="H173" s="87">
        <f t="shared" si="53"/>
        <v>20</v>
      </c>
      <c r="I173" s="87">
        <f t="shared" si="53"/>
        <v>20</v>
      </c>
      <c r="J173" s="87">
        <f t="shared" si="53"/>
        <v>20</v>
      </c>
      <c r="K173" s="87">
        <f t="shared" si="53"/>
        <v>20</v>
      </c>
      <c r="L173" s="87">
        <f t="shared" si="53"/>
        <v>20</v>
      </c>
      <c r="M173" s="87">
        <f t="shared" si="53"/>
        <v>20</v>
      </c>
      <c r="N173" s="87">
        <f t="shared" si="53"/>
        <v>20</v>
      </c>
      <c r="O173" s="87">
        <f t="shared" si="53"/>
        <v>20</v>
      </c>
      <c r="P173" s="87">
        <f t="shared" si="53"/>
        <v>20</v>
      </c>
      <c r="Q173" s="87">
        <f t="shared" si="53"/>
        <v>20</v>
      </c>
      <c r="R173" s="78">
        <f>SUM(F173:Q173)</f>
        <v>240</v>
      </c>
      <c r="S173" s="78">
        <f>E173-R173</f>
        <v>0</v>
      </c>
      <c r="T173" s="165" t="s">
        <v>463</v>
      </c>
      <c r="U173" s="97"/>
      <c r="V173" s="99"/>
    </row>
    <row r="174" spans="2:22" x14ac:dyDescent="0.35">
      <c r="B174" s="123"/>
      <c r="C174" s="84"/>
      <c r="D174" s="58"/>
      <c r="E174" s="72"/>
      <c r="F174" s="73"/>
      <c r="G174" s="73"/>
      <c r="H174" s="73"/>
      <c r="I174" s="73"/>
      <c r="J174" s="73"/>
      <c r="K174" s="73"/>
      <c r="L174" s="73"/>
      <c r="M174" s="73"/>
      <c r="N174" s="73"/>
      <c r="O174" s="73"/>
      <c r="P174" s="73"/>
      <c r="Q174" s="73"/>
      <c r="R174" s="73"/>
      <c r="S174" s="73"/>
      <c r="T174" s="72"/>
      <c r="U174" s="97"/>
      <c r="V174" s="99"/>
    </row>
    <row r="175" spans="2:22" x14ac:dyDescent="0.35">
      <c r="B175" s="123" t="s">
        <v>124</v>
      </c>
      <c r="C175" s="84"/>
      <c r="D175" s="58"/>
      <c r="E175" s="72"/>
      <c r="F175" s="73"/>
      <c r="G175" s="73"/>
      <c r="H175" s="73"/>
      <c r="I175" s="73"/>
      <c r="J175" s="73"/>
      <c r="K175" s="73"/>
      <c r="L175" s="73"/>
      <c r="M175" s="73"/>
      <c r="N175" s="73"/>
      <c r="O175" s="73"/>
      <c r="P175" s="73"/>
      <c r="Q175" s="73"/>
      <c r="R175" s="73"/>
      <c r="S175" s="73"/>
      <c r="T175" s="72"/>
      <c r="U175" s="97"/>
      <c r="V175" s="99"/>
    </row>
    <row r="176" spans="2:22" x14ac:dyDescent="0.35">
      <c r="B176" s="47" t="str">
        <f>'6) Year 1 Budget'!B138</f>
        <v>Textbooks and Instructional Supplies</v>
      </c>
      <c r="C176" s="131"/>
      <c r="D176" s="97"/>
      <c r="E176" s="115">
        <f>'6) Year 1 Budget'!E138</f>
        <v>12000</v>
      </c>
      <c r="F176" s="87">
        <f>E176</f>
        <v>12000</v>
      </c>
      <c r="G176" s="87">
        <v>0</v>
      </c>
      <c r="H176" s="87">
        <v>0</v>
      </c>
      <c r="I176" s="87">
        <v>0</v>
      </c>
      <c r="J176" s="87">
        <v>0</v>
      </c>
      <c r="K176" s="87">
        <v>0</v>
      </c>
      <c r="L176" s="87">
        <v>0</v>
      </c>
      <c r="M176" s="87">
        <v>0</v>
      </c>
      <c r="N176" s="87">
        <v>0</v>
      </c>
      <c r="O176" s="87">
        <v>0</v>
      </c>
      <c r="P176" s="87">
        <v>0</v>
      </c>
      <c r="Q176" s="87">
        <v>0</v>
      </c>
      <c r="R176" s="78">
        <f>SUM(F176:Q176)</f>
        <v>12000</v>
      </c>
      <c r="S176" s="78">
        <f>E176-R176</f>
        <v>0</v>
      </c>
      <c r="T176" s="165" t="s">
        <v>464</v>
      </c>
      <c r="U176" s="97"/>
      <c r="V176" s="99"/>
    </row>
    <row r="177" spans="2:22" x14ac:dyDescent="0.35">
      <c r="B177" s="47" t="str">
        <f>'6) Year 1 Budget'!B139</f>
        <v>Education Software</v>
      </c>
      <c r="C177" s="131"/>
      <c r="D177" s="97"/>
      <c r="E177" s="115">
        <f>'6) Year 1 Budget'!E139</f>
        <v>12000</v>
      </c>
      <c r="F177" s="87">
        <f>E177</f>
        <v>12000</v>
      </c>
      <c r="G177" s="87">
        <v>0</v>
      </c>
      <c r="H177" s="87">
        <v>0</v>
      </c>
      <c r="I177" s="87">
        <v>0</v>
      </c>
      <c r="J177" s="87">
        <v>0</v>
      </c>
      <c r="K177" s="87">
        <v>0</v>
      </c>
      <c r="L177" s="87">
        <v>0</v>
      </c>
      <c r="M177" s="87">
        <v>0</v>
      </c>
      <c r="N177" s="87">
        <v>0</v>
      </c>
      <c r="O177" s="87">
        <v>0</v>
      </c>
      <c r="P177" s="87">
        <v>0</v>
      </c>
      <c r="Q177" s="87">
        <v>0</v>
      </c>
      <c r="R177" s="78">
        <f>SUM(F177:Q177)</f>
        <v>12000</v>
      </c>
      <c r="S177" s="78">
        <f>E177-R177</f>
        <v>0</v>
      </c>
      <c r="T177" s="165" t="s">
        <v>465</v>
      </c>
      <c r="U177" s="97"/>
      <c r="V177" s="99"/>
    </row>
    <row r="178" spans="2:22" x14ac:dyDescent="0.35">
      <c r="B178" s="47" t="str">
        <f>'6) Year 1 Budget'!B140</f>
        <v>Student Supplies</v>
      </c>
      <c r="C178" s="131"/>
      <c r="D178" s="97"/>
      <c r="E178" s="115">
        <f>'6) Year 1 Budget'!E140</f>
        <v>6000</v>
      </c>
      <c r="F178" s="87">
        <f>E178</f>
        <v>6000</v>
      </c>
      <c r="G178" s="87">
        <v>0</v>
      </c>
      <c r="H178" s="87">
        <v>0</v>
      </c>
      <c r="I178" s="87">
        <v>0</v>
      </c>
      <c r="J178" s="87">
        <v>0</v>
      </c>
      <c r="K178" s="87">
        <v>0</v>
      </c>
      <c r="L178" s="87">
        <v>0</v>
      </c>
      <c r="M178" s="87">
        <v>0</v>
      </c>
      <c r="N178" s="87">
        <v>0</v>
      </c>
      <c r="O178" s="87">
        <v>0</v>
      </c>
      <c r="P178" s="87">
        <v>0</v>
      </c>
      <c r="Q178" s="87">
        <v>0</v>
      </c>
      <c r="R178" s="78">
        <f>SUM(F178:Q178)</f>
        <v>6000</v>
      </c>
      <c r="S178" s="78">
        <f>E178-R178</f>
        <v>0</v>
      </c>
      <c r="T178" s="165" t="s">
        <v>466</v>
      </c>
      <c r="U178" s="97"/>
      <c r="V178" s="99"/>
    </row>
    <row r="179" spans="2:22" x14ac:dyDescent="0.35">
      <c r="B179" s="47" t="str">
        <f>'6) Year 1 Budget'!B141</f>
        <v>Faculty Supplies</v>
      </c>
      <c r="C179" s="131"/>
      <c r="D179" s="97"/>
      <c r="E179" s="115">
        <f>'6) Year 1 Budget'!E141</f>
        <v>6000</v>
      </c>
      <c r="F179" s="87">
        <f t="shared" ref="F179:F189" si="58">$E179/12</f>
        <v>500</v>
      </c>
      <c r="G179" s="87">
        <f t="shared" ref="G179:Q189" si="59">$E179/12</f>
        <v>500</v>
      </c>
      <c r="H179" s="87">
        <f t="shared" si="59"/>
        <v>500</v>
      </c>
      <c r="I179" s="87">
        <f t="shared" si="59"/>
        <v>500</v>
      </c>
      <c r="J179" s="87">
        <f t="shared" si="59"/>
        <v>500</v>
      </c>
      <c r="K179" s="87">
        <f t="shared" si="59"/>
        <v>500</v>
      </c>
      <c r="L179" s="87">
        <f t="shared" si="59"/>
        <v>500</v>
      </c>
      <c r="M179" s="87">
        <f t="shared" si="59"/>
        <v>500</v>
      </c>
      <c r="N179" s="87">
        <f t="shared" si="59"/>
        <v>500</v>
      </c>
      <c r="O179" s="87">
        <f t="shared" si="59"/>
        <v>500</v>
      </c>
      <c r="P179" s="87">
        <f t="shared" si="59"/>
        <v>500</v>
      </c>
      <c r="Q179" s="87">
        <f t="shared" si="59"/>
        <v>500</v>
      </c>
      <c r="R179" s="78">
        <f t="shared" ref="R179:R185" si="60">SUM(F179:Q179)</f>
        <v>6000</v>
      </c>
      <c r="S179" s="78">
        <f t="shared" ref="S179:S185" si="61">E179-R179</f>
        <v>0</v>
      </c>
      <c r="T179" s="165" t="s">
        <v>467</v>
      </c>
      <c r="U179" s="97"/>
      <c r="V179" s="99"/>
    </row>
    <row r="180" spans="2:22" x14ac:dyDescent="0.35">
      <c r="B180" s="47" t="str">
        <f>'6) Year 1 Budget'!B142</f>
        <v>Library Books</v>
      </c>
      <c r="C180" s="131"/>
      <c r="D180" s="97"/>
      <c r="E180" s="115">
        <f>'6) Year 1 Budget'!E142</f>
        <v>6000</v>
      </c>
      <c r="F180" s="87">
        <f>E180</f>
        <v>6000</v>
      </c>
      <c r="G180" s="87">
        <v>0</v>
      </c>
      <c r="H180" s="87">
        <v>0</v>
      </c>
      <c r="I180" s="87">
        <v>0</v>
      </c>
      <c r="J180" s="87">
        <v>0</v>
      </c>
      <c r="K180" s="87">
        <v>0</v>
      </c>
      <c r="L180" s="87">
        <v>0</v>
      </c>
      <c r="M180" s="87">
        <v>0</v>
      </c>
      <c r="N180" s="87">
        <v>0</v>
      </c>
      <c r="O180" s="87">
        <v>0</v>
      </c>
      <c r="P180" s="87">
        <v>0</v>
      </c>
      <c r="Q180" s="87">
        <v>0</v>
      </c>
      <c r="R180" s="78">
        <f t="shared" si="60"/>
        <v>6000</v>
      </c>
      <c r="S180" s="78">
        <f t="shared" si="61"/>
        <v>0</v>
      </c>
      <c r="T180" s="165" t="s">
        <v>468</v>
      </c>
      <c r="U180" s="97"/>
      <c r="V180" s="99"/>
    </row>
    <row r="181" spans="2:22" s="250" customFormat="1" x14ac:dyDescent="0.35">
      <c r="B181" s="251" t="str">
        <f>'6) Year 1 Budget'!B143</f>
        <v>Testing &amp; Evaluation</v>
      </c>
      <c r="C181" s="257"/>
      <c r="D181" s="253"/>
      <c r="E181" s="254">
        <f>'6) Year 1 Budget'!E143</f>
        <v>4800</v>
      </c>
      <c r="F181" s="87">
        <v>4800</v>
      </c>
      <c r="G181" s="87"/>
      <c r="H181" s="87"/>
      <c r="I181" s="87"/>
      <c r="J181" s="87"/>
      <c r="K181" s="87"/>
      <c r="L181" s="87"/>
      <c r="M181" s="87"/>
      <c r="N181" s="87"/>
      <c r="O181" s="87"/>
      <c r="P181" s="87"/>
      <c r="Q181" s="87"/>
      <c r="R181" s="255">
        <f t="shared" si="60"/>
        <v>4800</v>
      </c>
      <c r="S181" s="255">
        <f t="shared" si="61"/>
        <v>0</v>
      </c>
      <c r="T181" s="165" t="s">
        <v>469</v>
      </c>
      <c r="U181" s="253"/>
      <c r="V181" s="256"/>
    </row>
    <row r="182" spans="2:22" x14ac:dyDescent="0.35">
      <c r="B182" s="47" t="str">
        <f>'6) Year 1 Budget'!B144</f>
        <v>Student Laptops</v>
      </c>
      <c r="C182" s="131"/>
      <c r="D182" s="97"/>
      <c r="E182" s="115">
        <f>'6) Year 1 Budget'!E144</f>
        <v>10000</v>
      </c>
      <c r="F182" s="87">
        <v>10000</v>
      </c>
      <c r="G182" s="87">
        <v>0</v>
      </c>
      <c r="H182" s="87">
        <v>0</v>
      </c>
      <c r="I182" s="87">
        <v>0</v>
      </c>
      <c r="J182" s="87">
        <v>0</v>
      </c>
      <c r="K182" s="87">
        <v>0</v>
      </c>
      <c r="L182" s="87">
        <v>0</v>
      </c>
      <c r="M182" s="87">
        <v>0</v>
      </c>
      <c r="N182" s="87">
        <v>0</v>
      </c>
      <c r="O182" s="87">
        <v>0</v>
      </c>
      <c r="P182" s="87">
        <v>0</v>
      </c>
      <c r="Q182" s="87">
        <v>0</v>
      </c>
      <c r="R182" s="78">
        <f t="shared" si="60"/>
        <v>10000</v>
      </c>
      <c r="S182" s="78">
        <f t="shared" si="61"/>
        <v>0</v>
      </c>
      <c r="T182" s="165" t="s">
        <v>470</v>
      </c>
      <c r="U182" s="97"/>
      <c r="V182" s="99"/>
    </row>
    <row r="183" spans="2:22" x14ac:dyDescent="0.35">
      <c r="B183" s="47" t="str">
        <f>'6) Year 1 Budget'!B145</f>
        <v>Faculty Laptops</v>
      </c>
      <c r="C183" s="131"/>
      <c r="D183" s="97"/>
      <c r="E183" s="115">
        <f>'6) Year 1 Budget'!E145</f>
        <v>9000</v>
      </c>
      <c r="F183" s="87">
        <v>9000</v>
      </c>
      <c r="G183" s="87">
        <v>0</v>
      </c>
      <c r="H183" s="87">
        <v>0</v>
      </c>
      <c r="I183" s="87">
        <v>0</v>
      </c>
      <c r="J183" s="87">
        <v>0</v>
      </c>
      <c r="K183" s="87">
        <v>0</v>
      </c>
      <c r="L183" s="87">
        <v>0</v>
      </c>
      <c r="M183" s="87">
        <v>0</v>
      </c>
      <c r="N183" s="87">
        <v>0</v>
      </c>
      <c r="O183" s="87">
        <v>0</v>
      </c>
      <c r="P183" s="87">
        <v>0</v>
      </c>
      <c r="Q183" s="87">
        <v>0</v>
      </c>
      <c r="R183" s="78">
        <f t="shared" si="60"/>
        <v>9000</v>
      </c>
      <c r="S183" s="78">
        <f t="shared" si="61"/>
        <v>0</v>
      </c>
      <c r="T183" s="165" t="s">
        <v>471</v>
      </c>
      <c r="U183" s="97"/>
      <c r="V183" s="99"/>
    </row>
    <row r="184" spans="2:22" x14ac:dyDescent="0.35">
      <c r="B184" s="47" t="str">
        <f>'6) Year 1 Budget'!B146</f>
        <v>Office Supplies</v>
      </c>
      <c r="C184" s="131"/>
      <c r="D184" s="97"/>
      <c r="E184" s="115">
        <f>'6) Year 1 Budget'!E146</f>
        <v>4200</v>
      </c>
      <c r="F184" s="87">
        <f t="shared" si="58"/>
        <v>350</v>
      </c>
      <c r="G184" s="87">
        <f t="shared" si="59"/>
        <v>350</v>
      </c>
      <c r="H184" s="87">
        <f t="shared" si="59"/>
        <v>350</v>
      </c>
      <c r="I184" s="87">
        <f t="shared" si="59"/>
        <v>350</v>
      </c>
      <c r="J184" s="87">
        <f t="shared" si="59"/>
        <v>350</v>
      </c>
      <c r="K184" s="87">
        <f t="shared" si="59"/>
        <v>350</v>
      </c>
      <c r="L184" s="87">
        <f t="shared" si="59"/>
        <v>350</v>
      </c>
      <c r="M184" s="87">
        <f t="shared" si="59"/>
        <v>350</v>
      </c>
      <c r="N184" s="87">
        <f t="shared" si="59"/>
        <v>350</v>
      </c>
      <c r="O184" s="87">
        <f t="shared" si="59"/>
        <v>350</v>
      </c>
      <c r="P184" s="87">
        <f t="shared" si="59"/>
        <v>350</v>
      </c>
      <c r="Q184" s="87">
        <f t="shared" si="59"/>
        <v>350</v>
      </c>
      <c r="R184" s="78">
        <f t="shared" si="60"/>
        <v>4200</v>
      </c>
      <c r="S184" s="78">
        <f t="shared" si="61"/>
        <v>0</v>
      </c>
      <c r="T184" s="165" t="s">
        <v>472</v>
      </c>
      <c r="U184" s="97"/>
      <c r="V184" s="99"/>
    </row>
    <row r="185" spans="2:22" x14ac:dyDescent="0.35">
      <c r="B185" s="47" t="str">
        <f>'6) Year 1 Budget'!B147</f>
        <v>Printing Paper</v>
      </c>
      <c r="C185" s="131"/>
      <c r="D185" s="97"/>
      <c r="E185" s="115">
        <f>'6) Year 1 Budget'!E147</f>
        <v>4800</v>
      </c>
      <c r="F185" s="87">
        <f t="shared" si="58"/>
        <v>400</v>
      </c>
      <c r="G185" s="87">
        <f t="shared" si="59"/>
        <v>400</v>
      </c>
      <c r="H185" s="87">
        <f t="shared" si="59"/>
        <v>400</v>
      </c>
      <c r="I185" s="87">
        <f t="shared" si="59"/>
        <v>400</v>
      </c>
      <c r="J185" s="87">
        <f t="shared" si="59"/>
        <v>400</v>
      </c>
      <c r="K185" s="87">
        <f t="shared" si="59"/>
        <v>400</v>
      </c>
      <c r="L185" s="87">
        <f t="shared" si="59"/>
        <v>400</v>
      </c>
      <c r="M185" s="87">
        <f t="shared" si="59"/>
        <v>400</v>
      </c>
      <c r="N185" s="87">
        <f t="shared" si="59"/>
        <v>400</v>
      </c>
      <c r="O185" s="87">
        <f t="shared" si="59"/>
        <v>400</v>
      </c>
      <c r="P185" s="87">
        <f t="shared" si="59"/>
        <v>400</v>
      </c>
      <c r="Q185" s="87">
        <f t="shared" si="59"/>
        <v>400</v>
      </c>
      <c r="R185" s="78">
        <f t="shared" si="60"/>
        <v>4800</v>
      </c>
      <c r="S185" s="78">
        <f t="shared" si="61"/>
        <v>0</v>
      </c>
      <c r="T185" s="165" t="s">
        <v>473</v>
      </c>
      <c r="U185" s="97"/>
      <c r="V185" s="99"/>
    </row>
    <row r="186" spans="2:22" x14ac:dyDescent="0.35">
      <c r="B186" s="47" t="str">
        <f>'6) Year 1 Budget'!B148</f>
        <v>Marketing Materials</v>
      </c>
      <c r="C186" s="131"/>
      <c r="D186" s="97"/>
      <c r="E186" s="115">
        <f>'6) Year 1 Budget'!E148</f>
        <v>1000</v>
      </c>
      <c r="F186" s="87">
        <f t="shared" si="58"/>
        <v>83.333333333333329</v>
      </c>
      <c r="G186" s="87">
        <f t="shared" si="59"/>
        <v>83.333333333333329</v>
      </c>
      <c r="H186" s="87">
        <f t="shared" si="59"/>
        <v>83.333333333333329</v>
      </c>
      <c r="I186" s="87">
        <f t="shared" si="59"/>
        <v>83.333333333333329</v>
      </c>
      <c r="J186" s="87">
        <f t="shared" si="59"/>
        <v>83.333333333333329</v>
      </c>
      <c r="K186" s="87">
        <f t="shared" si="59"/>
        <v>83.333333333333329</v>
      </c>
      <c r="L186" s="87">
        <f t="shared" si="59"/>
        <v>83.333333333333329</v>
      </c>
      <c r="M186" s="87">
        <f t="shared" si="59"/>
        <v>83.333333333333329</v>
      </c>
      <c r="N186" s="87">
        <f t="shared" si="59"/>
        <v>83.333333333333329</v>
      </c>
      <c r="O186" s="87">
        <f t="shared" si="59"/>
        <v>83.333333333333329</v>
      </c>
      <c r="P186" s="87">
        <f t="shared" si="59"/>
        <v>83.333333333333329</v>
      </c>
      <c r="Q186" s="87">
        <f t="shared" si="59"/>
        <v>83.333333333333329</v>
      </c>
      <c r="R186" s="78">
        <f>SUM(F186:Q186)</f>
        <v>1000.0000000000001</v>
      </c>
      <c r="S186" s="78">
        <f>E186-R186</f>
        <v>0</v>
      </c>
      <c r="T186" s="165" t="s">
        <v>474</v>
      </c>
      <c r="U186" s="97"/>
      <c r="V186" s="99"/>
    </row>
    <row r="187" spans="2:22" x14ac:dyDescent="0.35">
      <c r="B187" s="47" t="str">
        <f>'6) Year 1 Budget'!B149</f>
        <v>Student Uniforms</v>
      </c>
      <c r="C187" s="131"/>
      <c r="D187" s="97"/>
      <c r="E187" s="115">
        <f>'6) Year 1 Budget'!E149</f>
        <v>3600</v>
      </c>
      <c r="F187" s="87">
        <v>3600</v>
      </c>
      <c r="G187" s="87">
        <v>0</v>
      </c>
      <c r="H187" s="87">
        <v>0</v>
      </c>
      <c r="I187" s="87">
        <v>0</v>
      </c>
      <c r="J187" s="87">
        <v>0</v>
      </c>
      <c r="K187" s="87">
        <v>0</v>
      </c>
      <c r="L187" s="87">
        <v>0</v>
      </c>
      <c r="M187" s="87">
        <v>0</v>
      </c>
      <c r="N187" s="87">
        <v>0</v>
      </c>
      <c r="O187" s="87">
        <v>0</v>
      </c>
      <c r="P187" s="87">
        <v>0</v>
      </c>
      <c r="Q187" s="87">
        <v>0</v>
      </c>
      <c r="R187" s="78">
        <f>SUM(F187:Q187)</f>
        <v>3600</v>
      </c>
      <c r="S187" s="78">
        <f>E187-R187</f>
        <v>0</v>
      </c>
      <c r="T187" s="165" t="s">
        <v>475</v>
      </c>
      <c r="U187" s="97"/>
      <c r="V187" s="99"/>
    </row>
    <row r="188" spans="2:22" ht="29" x14ac:dyDescent="0.35">
      <c r="B188" s="47" t="str">
        <f>'6) Year 1 Budget'!B150</f>
        <v>Gifts &amp; Awards - Students</v>
      </c>
      <c r="C188" s="131"/>
      <c r="D188" s="97"/>
      <c r="E188" s="115">
        <f>'6) Year 1 Budget'!E150</f>
        <v>3600</v>
      </c>
      <c r="F188" s="87">
        <f t="shared" si="58"/>
        <v>300</v>
      </c>
      <c r="G188" s="87">
        <f t="shared" si="59"/>
        <v>300</v>
      </c>
      <c r="H188" s="87">
        <f t="shared" si="59"/>
        <v>300</v>
      </c>
      <c r="I188" s="87">
        <f t="shared" si="59"/>
        <v>300</v>
      </c>
      <c r="J188" s="87">
        <f t="shared" si="59"/>
        <v>300</v>
      </c>
      <c r="K188" s="87">
        <f t="shared" si="59"/>
        <v>300</v>
      </c>
      <c r="L188" s="87">
        <f t="shared" si="59"/>
        <v>300</v>
      </c>
      <c r="M188" s="87">
        <f t="shared" si="59"/>
        <v>300</v>
      </c>
      <c r="N188" s="87">
        <f t="shared" si="59"/>
        <v>300</v>
      </c>
      <c r="O188" s="87">
        <f t="shared" si="59"/>
        <v>300</v>
      </c>
      <c r="P188" s="87">
        <f t="shared" si="59"/>
        <v>300</v>
      </c>
      <c r="Q188" s="87">
        <f t="shared" si="59"/>
        <v>300</v>
      </c>
      <c r="R188" s="78">
        <f>SUM(F188:Q188)</f>
        <v>3600</v>
      </c>
      <c r="S188" s="78">
        <f>E188-R188</f>
        <v>0</v>
      </c>
      <c r="T188" s="261" t="s">
        <v>476</v>
      </c>
      <c r="U188" s="97"/>
      <c r="V188" s="99"/>
    </row>
    <row r="189" spans="2:22" ht="29" x14ac:dyDescent="0.35">
      <c r="B189" s="47" t="str">
        <f>'6) Year 1 Budget'!B151</f>
        <v>Gifts &amp; Awards - Teachers and Staff</v>
      </c>
      <c r="C189" s="131"/>
      <c r="D189" s="97"/>
      <c r="E189" s="115">
        <f>'6) Year 1 Budget'!E151</f>
        <v>825</v>
      </c>
      <c r="F189" s="87">
        <f t="shared" si="58"/>
        <v>68.75</v>
      </c>
      <c r="G189" s="87">
        <f t="shared" si="59"/>
        <v>68.75</v>
      </c>
      <c r="H189" s="87">
        <f t="shared" si="59"/>
        <v>68.75</v>
      </c>
      <c r="I189" s="87">
        <f t="shared" si="59"/>
        <v>68.75</v>
      </c>
      <c r="J189" s="87">
        <f t="shared" si="59"/>
        <v>68.75</v>
      </c>
      <c r="K189" s="87">
        <f t="shared" si="59"/>
        <v>68.75</v>
      </c>
      <c r="L189" s="87">
        <f t="shared" si="59"/>
        <v>68.75</v>
      </c>
      <c r="M189" s="87">
        <f t="shared" si="59"/>
        <v>68.75</v>
      </c>
      <c r="N189" s="87">
        <f t="shared" si="59"/>
        <v>68.75</v>
      </c>
      <c r="O189" s="87">
        <f t="shared" si="59"/>
        <v>68.75</v>
      </c>
      <c r="P189" s="87">
        <f t="shared" si="59"/>
        <v>68.75</v>
      </c>
      <c r="Q189" s="87">
        <f t="shared" si="59"/>
        <v>68.75</v>
      </c>
      <c r="R189" s="78">
        <f>SUM(F189:Q189)</f>
        <v>825</v>
      </c>
      <c r="S189" s="78">
        <f>E189-R189</f>
        <v>0</v>
      </c>
      <c r="T189" s="261" t="s">
        <v>477</v>
      </c>
      <c r="U189" s="97"/>
      <c r="V189" s="99"/>
    </row>
    <row r="190" spans="2:22" x14ac:dyDescent="0.35">
      <c r="B190" s="47" t="str">
        <f>'6) Year 1 Budget'!B152</f>
        <v>Health Supplies</v>
      </c>
      <c r="C190" s="131"/>
      <c r="D190" s="97"/>
      <c r="E190" s="115">
        <f>'6) Year 1 Budget'!E152</f>
        <v>1500</v>
      </c>
      <c r="F190" s="87">
        <v>1500</v>
      </c>
      <c r="G190" s="87"/>
      <c r="H190" s="87"/>
      <c r="I190" s="87"/>
      <c r="J190" s="87"/>
      <c r="K190" s="87"/>
      <c r="L190" s="87"/>
      <c r="M190" s="87"/>
      <c r="N190" s="87"/>
      <c r="O190" s="87"/>
      <c r="P190" s="87"/>
      <c r="Q190" s="87"/>
      <c r="R190" s="78">
        <f>SUM(F190:Q190)</f>
        <v>1500</v>
      </c>
      <c r="S190" s="78">
        <f>E190-R190</f>
        <v>0</v>
      </c>
      <c r="T190" s="165" t="s">
        <v>479</v>
      </c>
      <c r="U190" s="97"/>
      <c r="V190" s="99"/>
    </row>
    <row r="191" spans="2:22" ht="15" thickBot="1" x14ac:dyDescent="0.4">
      <c r="B191" s="226"/>
      <c r="C191" s="228"/>
      <c r="D191" s="203"/>
      <c r="E191" s="205"/>
      <c r="F191" s="204"/>
      <c r="G191" s="204"/>
      <c r="H191" s="204"/>
      <c r="I191" s="204"/>
      <c r="J191" s="204"/>
      <c r="K191" s="204"/>
      <c r="L191" s="204"/>
      <c r="M191" s="204"/>
      <c r="N191" s="204"/>
      <c r="O191" s="204"/>
      <c r="P191" s="204"/>
      <c r="Q191" s="204"/>
      <c r="R191" s="204"/>
      <c r="S191" s="204"/>
      <c r="T191" s="205"/>
      <c r="U191" s="133"/>
      <c r="V191" s="134"/>
    </row>
    <row r="192" spans="2:22" x14ac:dyDescent="0.35">
      <c r="B192" s="123" t="s">
        <v>127</v>
      </c>
      <c r="C192" s="84"/>
      <c r="D192" s="58"/>
      <c r="E192" s="72"/>
      <c r="F192" s="73"/>
      <c r="G192" s="73"/>
      <c r="H192" s="73"/>
      <c r="I192" s="73"/>
      <c r="J192" s="73"/>
      <c r="K192" s="73"/>
      <c r="L192" s="73"/>
      <c r="M192" s="73"/>
      <c r="N192" s="73"/>
      <c r="O192" s="73"/>
      <c r="P192" s="73"/>
      <c r="Q192" s="73"/>
      <c r="R192" s="73"/>
      <c r="S192" s="73"/>
      <c r="T192" s="72"/>
      <c r="U192" s="97"/>
      <c r="V192" s="99"/>
    </row>
    <row r="193" spans="2:22" x14ac:dyDescent="0.35">
      <c r="B193" s="47" t="str">
        <f>'6) Year 1 Budget'!B155</f>
        <v>Rent</v>
      </c>
      <c r="C193" s="131"/>
      <c r="D193" s="97"/>
      <c r="E193" s="115">
        <f>'6) Year 1 Budget'!E155</f>
        <v>48000</v>
      </c>
      <c r="F193" s="87">
        <f>$E193/12</f>
        <v>4000</v>
      </c>
      <c r="G193" s="87">
        <f t="shared" ref="G193:Q207" si="62">$E193/12</f>
        <v>4000</v>
      </c>
      <c r="H193" s="87">
        <f t="shared" si="62"/>
        <v>4000</v>
      </c>
      <c r="I193" s="87">
        <f t="shared" si="62"/>
        <v>4000</v>
      </c>
      <c r="J193" s="87">
        <f t="shared" si="62"/>
        <v>4000</v>
      </c>
      <c r="K193" s="87">
        <f t="shared" si="62"/>
        <v>4000</v>
      </c>
      <c r="L193" s="87">
        <f t="shared" si="62"/>
        <v>4000</v>
      </c>
      <c r="M193" s="87">
        <f t="shared" si="62"/>
        <v>4000</v>
      </c>
      <c r="N193" s="87">
        <f t="shared" si="62"/>
        <v>4000</v>
      </c>
      <c r="O193" s="87">
        <f t="shared" si="62"/>
        <v>4000</v>
      </c>
      <c r="P193" s="87">
        <f t="shared" si="62"/>
        <v>4000</v>
      </c>
      <c r="Q193" s="87">
        <f t="shared" si="62"/>
        <v>4000</v>
      </c>
      <c r="R193" s="78">
        <f>SUM(F193:Q193)</f>
        <v>48000</v>
      </c>
      <c r="S193" s="78">
        <f>E193-R193</f>
        <v>0</v>
      </c>
      <c r="T193" s="165" t="s">
        <v>480</v>
      </c>
      <c r="U193" s="97"/>
      <c r="V193" s="99"/>
    </row>
    <row r="194" spans="2:22" x14ac:dyDescent="0.35">
      <c r="B194" s="47" t="str">
        <f>'6) Year 1 Budget'!B156</f>
        <v>Utilities</v>
      </c>
      <c r="C194" s="131"/>
      <c r="D194" s="97"/>
      <c r="E194" s="115">
        <f>'6) Year 1 Budget'!E156</f>
        <v>19200</v>
      </c>
      <c r="F194" s="87">
        <f t="shared" ref="F194:Q207" si="63">$E194/12</f>
        <v>1600</v>
      </c>
      <c r="G194" s="87">
        <f t="shared" si="63"/>
        <v>1600</v>
      </c>
      <c r="H194" s="87">
        <f t="shared" si="63"/>
        <v>1600</v>
      </c>
      <c r="I194" s="87">
        <f t="shared" si="63"/>
        <v>1600</v>
      </c>
      <c r="J194" s="87">
        <f t="shared" si="63"/>
        <v>1600</v>
      </c>
      <c r="K194" s="87">
        <f t="shared" si="63"/>
        <v>1600</v>
      </c>
      <c r="L194" s="87">
        <f t="shared" si="63"/>
        <v>1600</v>
      </c>
      <c r="M194" s="87">
        <f t="shared" si="63"/>
        <v>1600</v>
      </c>
      <c r="N194" s="87">
        <f t="shared" si="63"/>
        <v>1600</v>
      </c>
      <c r="O194" s="87">
        <f t="shared" si="63"/>
        <v>1600</v>
      </c>
      <c r="P194" s="87">
        <f t="shared" si="63"/>
        <v>1600</v>
      </c>
      <c r="Q194" s="87">
        <f t="shared" si="63"/>
        <v>1600</v>
      </c>
      <c r="R194" s="78">
        <f>SUM(F194:Q194)</f>
        <v>19200</v>
      </c>
      <c r="S194" s="78">
        <f>E194-R194</f>
        <v>0</v>
      </c>
      <c r="T194" s="165" t="s">
        <v>481</v>
      </c>
      <c r="U194" s="97"/>
      <c r="V194" s="99"/>
    </row>
    <row r="195" spans="2:22" x14ac:dyDescent="0.35">
      <c r="B195" s="47" t="str">
        <f>'6) Year 1 Budget'!B157</f>
        <v xml:space="preserve">Custodial </v>
      </c>
      <c r="C195" s="131"/>
      <c r="D195" s="97"/>
      <c r="E195" s="115">
        <f>'6) Year 1 Budget'!E157</f>
        <v>19200</v>
      </c>
      <c r="F195" s="87">
        <f t="shared" si="63"/>
        <v>1600</v>
      </c>
      <c r="G195" s="87">
        <f t="shared" si="62"/>
        <v>1600</v>
      </c>
      <c r="H195" s="87">
        <f t="shared" si="62"/>
        <v>1600</v>
      </c>
      <c r="I195" s="87">
        <f t="shared" si="62"/>
        <v>1600</v>
      </c>
      <c r="J195" s="87">
        <f t="shared" si="62"/>
        <v>1600</v>
      </c>
      <c r="K195" s="87">
        <f t="shared" si="62"/>
        <v>1600</v>
      </c>
      <c r="L195" s="87">
        <f t="shared" si="62"/>
        <v>1600</v>
      </c>
      <c r="M195" s="87">
        <f t="shared" si="62"/>
        <v>1600</v>
      </c>
      <c r="N195" s="87">
        <f t="shared" si="62"/>
        <v>1600</v>
      </c>
      <c r="O195" s="87">
        <f t="shared" si="62"/>
        <v>1600</v>
      </c>
      <c r="P195" s="87">
        <f t="shared" si="62"/>
        <v>1600</v>
      </c>
      <c r="Q195" s="87">
        <f t="shared" si="62"/>
        <v>1600</v>
      </c>
      <c r="R195" s="78">
        <f>SUM(F195:Q195)</f>
        <v>19200</v>
      </c>
      <c r="S195" s="78">
        <f>E195-R195</f>
        <v>0</v>
      </c>
      <c r="T195" s="165" t="s">
        <v>482</v>
      </c>
      <c r="U195" s="97"/>
      <c r="V195" s="99"/>
    </row>
    <row r="196" spans="2:22" x14ac:dyDescent="0.35">
      <c r="B196" s="47" t="str">
        <f>'6) Year 1 Budget'!B158</f>
        <v>Waste</v>
      </c>
      <c r="C196" s="131"/>
      <c r="D196" s="97"/>
      <c r="E196" s="115">
        <f>'6) Year 1 Budget'!E158</f>
        <v>2400</v>
      </c>
      <c r="F196" s="87">
        <f t="shared" si="63"/>
        <v>200</v>
      </c>
      <c r="G196" s="87">
        <f t="shared" si="63"/>
        <v>200</v>
      </c>
      <c r="H196" s="87">
        <f t="shared" si="63"/>
        <v>200</v>
      </c>
      <c r="I196" s="87">
        <f t="shared" si="63"/>
        <v>200</v>
      </c>
      <c r="J196" s="87">
        <f t="shared" si="63"/>
        <v>200</v>
      </c>
      <c r="K196" s="87">
        <f t="shared" si="63"/>
        <v>200</v>
      </c>
      <c r="L196" s="87">
        <f t="shared" si="63"/>
        <v>200</v>
      </c>
      <c r="M196" s="87">
        <f t="shared" si="63"/>
        <v>200</v>
      </c>
      <c r="N196" s="87">
        <f t="shared" si="63"/>
        <v>200</v>
      </c>
      <c r="O196" s="87">
        <f t="shared" si="63"/>
        <v>200</v>
      </c>
      <c r="P196" s="87">
        <f t="shared" si="63"/>
        <v>200</v>
      </c>
      <c r="Q196" s="87">
        <f t="shared" si="63"/>
        <v>200</v>
      </c>
      <c r="R196" s="78">
        <f t="shared" ref="R196:R202" si="64">SUM(F196:Q196)</f>
        <v>2400</v>
      </c>
      <c r="S196" s="78">
        <f t="shared" ref="S196:S202" si="65">E196-R196</f>
        <v>0</v>
      </c>
      <c r="T196" s="165" t="s">
        <v>483</v>
      </c>
      <c r="U196" s="97"/>
      <c r="V196" s="99"/>
    </row>
    <row r="197" spans="2:22" x14ac:dyDescent="0.35">
      <c r="B197" s="47" t="str">
        <f>'6) Year 1 Budget'!B159</f>
        <v>Faculty Furniture</v>
      </c>
      <c r="C197" s="131"/>
      <c r="D197" s="97"/>
      <c r="E197" s="115">
        <f>'6) Year 1 Budget'!E159</f>
        <v>10000</v>
      </c>
      <c r="F197" s="87">
        <v>10000</v>
      </c>
      <c r="G197" s="87"/>
      <c r="H197" s="87"/>
      <c r="I197" s="87"/>
      <c r="J197" s="87"/>
      <c r="K197" s="87"/>
      <c r="L197" s="87"/>
      <c r="M197" s="87"/>
      <c r="N197" s="87"/>
      <c r="O197" s="87"/>
      <c r="P197" s="87"/>
      <c r="Q197" s="87"/>
      <c r="R197" s="78">
        <f t="shared" si="64"/>
        <v>10000</v>
      </c>
      <c r="S197" s="78">
        <f t="shared" si="65"/>
        <v>0</v>
      </c>
      <c r="T197" s="165" t="s">
        <v>484</v>
      </c>
      <c r="U197" s="97"/>
      <c r="V197" s="99"/>
    </row>
    <row r="198" spans="2:22" x14ac:dyDescent="0.35">
      <c r="B198" s="47" t="str">
        <f>'6) Year 1 Budget'!B160</f>
        <v>Student Furniture</v>
      </c>
      <c r="C198" s="131"/>
      <c r="D198" s="97"/>
      <c r="E198" s="115">
        <f>'6) Year 1 Budget'!E160</f>
        <v>20000</v>
      </c>
      <c r="F198" s="87">
        <v>20000</v>
      </c>
      <c r="G198" s="87"/>
      <c r="H198" s="87"/>
      <c r="I198" s="87"/>
      <c r="J198" s="87"/>
      <c r="K198" s="87"/>
      <c r="L198" s="87"/>
      <c r="M198" s="87"/>
      <c r="N198" s="87"/>
      <c r="O198" s="87"/>
      <c r="P198" s="87"/>
      <c r="Q198" s="87"/>
      <c r="R198" s="78">
        <f t="shared" si="64"/>
        <v>20000</v>
      </c>
      <c r="S198" s="78">
        <f t="shared" si="65"/>
        <v>0</v>
      </c>
      <c r="T198" s="165" t="s">
        <v>485</v>
      </c>
      <c r="U198" s="97"/>
      <c r="V198" s="99"/>
    </row>
    <row r="199" spans="2:22" x14ac:dyDescent="0.35">
      <c r="B199" s="47" t="str">
        <f>'6) Year 1 Budget'!B161</f>
        <v>Internet/Network Equipment</v>
      </c>
      <c r="C199" s="131"/>
      <c r="D199" s="97"/>
      <c r="E199" s="115">
        <f>'6) Year 1 Budget'!E161</f>
        <v>8000</v>
      </c>
      <c r="F199" s="87">
        <f t="shared" si="63"/>
        <v>666.66666666666663</v>
      </c>
      <c r="G199" s="87">
        <f t="shared" si="62"/>
        <v>666.66666666666663</v>
      </c>
      <c r="H199" s="87">
        <f t="shared" si="62"/>
        <v>666.66666666666663</v>
      </c>
      <c r="I199" s="87">
        <f t="shared" si="62"/>
        <v>666.66666666666663</v>
      </c>
      <c r="J199" s="87">
        <f t="shared" si="62"/>
        <v>666.66666666666663</v>
      </c>
      <c r="K199" s="87">
        <f t="shared" si="62"/>
        <v>666.66666666666663</v>
      </c>
      <c r="L199" s="87">
        <f t="shared" si="62"/>
        <v>666.66666666666663</v>
      </c>
      <c r="M199" s="87">
        <f t="shared" si="62"/>
        <v>666.66666666666663</v>
      </c>
      <c r="N199" s="87">
        <f t="shared" si="62"/>
        <v>666.66666666666663</v>
      </c>
      <c r="O199" s="87">
        <f t="shared" si="62"/>
        <v>666.66666666666663</v>
      </c>
      <c r="P199" s="87">
        <f t="shared" si="62"/>
        <v>666.66666666666663</v>
      </c>
      <c r="Q199" s="87">
        <f t="shared" si="62"/>
        <v>666.66666666666663</v>
      </c>
      <c r="R199" s="78">
        <f t="shared" si="64"/>
        <v>8000.0000000000009</v>
      </c>
      <c r="S199" s="78">
        <f t="shared" si="65"/>
        <v>0</v>
      </c>
      <c r="T199" s="165" t="s">
        <v>486</v>
      </c>
      <c r="U199" s="97"/>
      <c r="V199" s="99"/>
    </row>
    <row r="200" spans="2:22" x14ac:dyDescent="0.35">
      <c r="B200" s="47" t="str">
        <f>'6) Year 1 Budget'!B162</f>
        <v>Other Equipment</v>
      </c>
      <c r="C200" s="131"/>
      <c r="D200" s="97"/>
      <c r="E200" s="115">
        <f>'6) Year 1 Budget'!E162</f>
        <v>5000</v>
      </c>
      <c r="F200" s="87">
        <v>5000</v>
      </c>
      <c r="G200" s="87"/>
      <c r="H200" s="87"/>
      <c r="I200" s="87"/>
      <c r="J200" s="87"/>
      <c r="K200" s="87"/>
      <c r="L200" s="87"/>
      <c r="M200" s="87"/>
      <c r="N200" s="87"/>
      <c r="O200" s="87"/>
      <c r="P200" s="87"/>
      <c r="Q200" s="87"/>
      <c r="R200" s="78">
        <f t="shared" si="64"/>
        <v>5000</v>
      </c>
      <c r="S200" s="78">
        <f t="shared" si="65"/>
        <v>0</v>
      </c>
      <c r="T200" s="165" t="s">
        <v>487</v>
      </c>
      <c r="U200" s="97"/>
      <c r="V200" s="99"/>
    </row>
    <row r="201" spans="2:22" x14ac:dyDescent="0.35">
      <c r="B201" s="47" t="str">
        <f>'6) Year 1 Budget'!B163</f>
        <v>Building Decorum</v>
      </c>
      <c r="C201" s="131"/>
      <c r="D201" s="97"/>
      <c r="E201" s="115">
        <f>'6) Year 1 Budget'!E163</f>
        <v>5000</v>
      </c>
      <c r="F201" s="87">
        <f t="shared" si="63"/>
        <v>416.66666666666669</v>
      </c>
      <c r="G201" s="87">
        <f t="shared" si="62"/>
        <v>416.66666666666669</v>
      </c>
      <c r="H201" s="87">
        <f t="shared" si="62"/>
        <v>416.66666666666669</v>
      </c>
      <c r="I201" s="87">
        <f t="shared" si="62"/>
        <v>416.66666666666669</v>
      </c>
      <c r="J201" s="87">
        <f t="shared" si="62"/>
        <v>416.66666666666669</v>
      </c>
      <c r="K201" s="87">
        <f t="shared" si="62"/>
        <v>416.66666666666669</v>
      </c>
      <c r="L201" s="87">
        <f t="shared" si="62"/>
        <v>416.66666666666669</v>
      </c>
      <c r="M201" s="87">
        <f t="shared" si="62"/>
        <v>416.66666666666669</v>
      </c>
      <c r="N201" s="87">
        <f t="shared" si="62"/>
        <v>416.66666666666669</v>
      </c>
      <c r="O201" s="87">
        <f t="shared" si="62"/>
        <v>416.66666666666669</v>
      </c>
      <c r="P201" s="87">
        <f t="shared" si="62"/>
        <v>416.66666666666669</v>
      </c>
      <c r="Q201" s="87">
        <f t="shared" si="62"/>
        <v>416.66666666666669</v>
      </c>
      <c r="R201" s="78">
        <f t="shared" si="64"/>
        <v>5000</v>
      </c>
      <c r="S201" s="78">
        <f t="shared" si="65"/>
        <v>0</v>
      </c>
      <c r="T201" s="165" t="s">
        <v>488</v>
      </c>
      <c r="U201" s="97"/>
      <c r="V201" s="99"/>
    </row>
    <row r="202" spans="2:22" x14ac:dyDescent="0.35">
      <c r="B202" s="47" t="str">
        <f>'6) Year 1 Budget'!B164</f>
        <v>Tenant Improvements</v>
      </c>
      <c r="C202" s="131"/>
      <c r="D202" s="97"/>
      <c r="E202" s="115">
        <f>'6) Year 1 Budget'!E164</f>
        <v>19200</v>
      </c>
      <c r="F202" s="87">
        <v>19200</v>
      </c>
      <c r="G202" s="87"/>
      <c r="H202" s="87"/>
      <c r="I202" s="87"/>
      <c r="J202" s="87"/>
      <c r="K202" s="87"/>
      <c r="L202" s="87"/>
      <c r="M202" s="87"/>
      <c r="N202" s="87"/>
      <c r="O202" s="87"/>
      <c r="P202" s="87"/>
      <c r="Q202" s="87"/>
      <c r="R202" s="78">
        <f t="shared" si="64"/>
        <v>19200</v>
      </c>
      <c r="S202" s="78">
        <f t="shared" si="65"/>
        <v>0</v>
      </c>
      <c r="T202" s="165" t="s">
        <v>489</v>
      </c>
      <c r="U202" s="97"/>
      <c r="V202" s="99"/>
    </row>
    <row r="203" spans="2:22" x14ac:dyDescent="0.35">
      <c r="B203" s="47" t="str">
        <f>'6) Year 1 Budget'!B165</f>
        <v>Other</v>
      </c>
      <c r="C203" s="131"/>
      <c r="D203" s="97"/>
      <c r="E203" s="115">
        <f>'6) Year 1 Budget'!E165</f>
        <v>0</v>
      </c>
      <c r="F203" s="87">
        <f t="shared" si="63"/>
        <v>0</v>
      </c>
      <c r="G203" s="87">
        <f t="shared" si="62"/>
        <v>0</v>
      </c>
      <c r="H203" s="87">
        <f t="shared" si="62"/>
        <v>0</v>
      </c>
      <c r="I203" s="87">
        <f t="shared" si="62"/>
        <v>0</v>
      </c>
      <c r="J203" s="87">
        <f t="shared" si="62"/>
        <v>0</v>
      </c>
      <c r="K203" s="87">
        <f t="shared" si="62"/>
        <v>0</v>
      </c>
      <c r="L203" s="87">
        <f t="shared" si="62"/>
        <v>0</v>
      </c>
      <c r="M203" s="87">
        <f t="shared" si="62"/>
        <v>0</v>
      </c>
      <c r="N203" s="87">
        <f t="shared" si="62"/>
        <v>0</v>
      </c>
      <c r="O203" s="87">
        <f t="shared" si="62"/>
        <v>0</v>
      </c>
      <c r="P203" s="87">
        <f t="shared" si="62"/>
        <v>0</v>
      </c>
      <c r="Q203" s="87">
        <f t="shared" si="62"/>
        <v>0</v>
      </c>
      <c r="R203" s="78">
        <f>SUM(F203:Q203)</f>
        <v>0</v>
      </c>
      <c r="S203" s="78">
        <f>E203-R203</f>
        <v>0</v>
      </c>
      <c r="T203" s="165" t="s">
        <v>112</v>
      </c>
      <c r="U203" s="97"/>
      <c r="V203" s="99"/>
    </row>
    <row r="204" spans="2:22" x14ac:dyDescent="0.35">
      <c r="B204" s="47" t="str">
        <f>'6) Year 1 Budget'!B166</f>
        <v>Other</v>
      </c>
      <c r="C204" s="131"/>
      <c r="D204" s="97"/>
      <c r="E204" s="115">
        <f>'6) Year 1 Budget'!E166</f>
        <v>0</v>
      </c>
      <c r="F204" s="87">
        <f t="shared" si="63"/>
        <v>0</v>
      </c>
      <c r="G204" s="87">
        <f t="shared" si="63"/>
        <v>0</v>
      </c>
      <c r="H204" s="87">
        <f t="shared" si="63"/>
        <v>0</v>
      </c>
      <c r="I204" s="87">
        <f t="shared" si="63"/>
        <v>0</v>
      </c>
      <c r="J204" s="87">
        <f t="shared" si="63"/>
        <v>0</v>
      </c>
      <c r="K204" s="87">
        <f t="shared" si="63"/>
        <v>0</v>
      </c>
      <c r="L204" s="87">
        <f t="shared" si="63"/>
        <v>0</v>
      </c>
      <c r="M204" s="87">
        <f t="shared" si="63"/>
        <v>0</v>
      </c>
      <c r="N204" s="87">
        <f t="shared" si="63"/>
        <v>0</v>
      </c>
      <c r="O204" s="87">
        <f t="shared" si="63"/>
        <v>0</v>
      </c>
      <c r="P204" s="87">
        <f t="shared" si="63"/>
        <v>0</v>
      </c>
      <c r="Q204" s="87">
        <f t="shared" si="63"/>
        <v>0</v>
      </c>
      <c r="R204" s="78">
        <f>SUM(F204:Q204)</f>
        <v>0</v>
      </c>
      <c r="S204" s="78">
        <f>E204-R204</f>
        <v>0</v>
      </c>
      <c r="T204" s="165" t="s">
        <v>112</v>
      </c>
      <c r="U204" s="97"/>
      <c r="V204" s="99"/>
    </row>
    <row r="205" spans="2:22" x14ac:dyDescent="0.35">
      <c r="B205" s="47" t="str">
        <f>'6) Year 1 Budget'!B167</f>
        <v>Other</v>
      </c>
      <c r="C205" s="131"/>
      <c r="D205" s="97"/>
      <c r="E205" s="115">
        <f>'6) Year 1 Budget'!E167</f>
        <v>0</v>
      </c>
      <c r="F205" s="87">
        <f t="shared" si="63"/>
        <v>0</v>
      </c>
      <c r="G205" s="87">
        <f t="shared" si="62"/>
        <v>0</v>
      </c>
      <c r="H205" s="87">
        <f t="shared" si="62"/>
        <v>0</v>
      </c>
      <c r="I205" s="87">
        <f t="shared" si="62"/>
        <v>0</v>
      </c>
      <c r="J205" s="87">
        <f t="shared" si="62"/>
        <v>0</v>
      </c>
      <c r="K205" s="87">
        <f t="shared" si="62"/>
        <v>0</v>
      </c>
      <c r="L205" s="87">
        <f t="shared" si="62"/>
        <v>0</v>
      </c>
      <c r="M205" s="87">
        <f t="shared" si="62"/>
        <v>0</v>
      </c>
      <c r="N205" s="87">
        <f t="shared" si="62"/>
        <v>0</v>
      </c>
      <c r="O205" s="87">
        <f t="shared" si="62"/>
        <v>0</v>
      </c>
      <c r="P205" s="87">
        <f t="shared" si="62"/>
        <v>0</v>
      </c>
      <c r="Q205" s="87">
        <f t="shared" si="62"/>
        <v>0</v>
      </c>
      <c r="R205" s="78">
        <f>SUM(F205:Q205)</f>
        <v>0</v>
      </c>
      <c r="S205" s="78">
        <f>E205-R205</f>
        <v>0</v>
      </c>
      <c r="T205" s="165" t="s">
        <v>112</v>
      </c>
      <c r="U205" s="97"/>
      <c r="V205" s="99"/>
    </row>
    <row r="206" spans="2:22" x14ac:dyDescent="0.35">
      <c r="B206" s="47" t="str">
        <f>'6) Year 1 Budget'!B168</f>
        <v>Other</v>
      </c>
      <c r="C206" s="131"/>
      <c r="D206" s="97"/>
      <c r="E206" s="115">
        <f>'6) Year 1 Budget'!E168</f>
        <v>0</v>
      </c>
      <c r="F206" s="87">
        <f t="shared" si="63"/>
        <v>0</v>
      </c>
      <c r="G206" s="87">
        <f t="shared" si="63"/>
        <v>0</v>
      </c>
      <c r="H206" s="87">
        <f t="shared" si="63"/>
        <v>0</v>
      </c>
      <c r="I206" s="87">
        <f t="shared" si="63"/>
        <v>0</v>
      </c>
      <c r="J206" s="87">
        <f t="shared" si="63"/>
        <v>0</v>
      </c>
      <c r="K206" s="87">
        <f t="shared" si="63"/>
        <v>0</v>
      </c>
      <c r="L206" s="87">
        <f t="shared" si="63"/>
        <v>0</v>
      </c>
      <c r="M206" s="87">
        <f t="shared" si="63"/>
        <v>0</v>
      </c>
      <c r="N206" s="87">
        <f t="shared" si="63"/>
        <v>0</v>
      </c>
      <c r="O206" s="87">
        <f t="shared" si="63"/>
        <v>0</v>
      </c>
      <c r="P206" s="87">
        <f t="shared" si="63"/>
        <v>0</v>
      </c>
      <c r="Q206" s="87">
        <f t="shared" si="63"/>
        <v>0</v>
      </c>
      <c r="R206" s="78">
        <f>SUM(F206:Q206)</f>
        <v>0</v>
      </c>
      <c r="S206" s="78">
        <f>E206-R206</f>
        <v>0</v>
      </c>
      <c r="T206" s="165" t="s">
        <v>112</v>
      </c>
      <c r="U206" s="97"/>
      <c r="V206" s="99"/>
    </row>
    <row r="207" spans="2:22" x14ac:dyDescent="0.35">
      <c r="B207" s="47" t="str">
        <f>'6) Year 1 Budget'!B169</f>
        <v>Other</v>
      </c>
      <c r="C207" s="131"/>
      <c r="D207" s="97"/>
      <c r="E207" s="115">
        <f>'6) Year 1 Budget'!E169</f>
        <v>0</v>
      </c>
      <c r="F207" s="87">
        <f t="shared" si="63"/>
        <v>0</v>
      </c>
      <c r="G207" s="87">
        <f t="shared" si="62"/>
        <v>0</v>
      </c>
      <c r="H207" s="87">
        <f t="shared" si="62"/>
        <v>0</v>
      </c>
      <c r="I207" s="87">
        <f t="shared" si="62"/>
        <v>0</v>
      </c>
      <c r="J207" s="87">
        <f t="shared" si="62"/>
        <v>0</v>
      </c>
      <c r="K207" s="87">
        <f t="shared" si="62"/>
        <v>0</v>
      </c>
      <c r="L207" s="87">
        <f t="shared" si="62"/>
        <v>0</v>
      </c>
      <c r="M207" s="87">
        <f t="shared" si="62"/>
        <v>0</v>
      </c>
      <c r="N207" s="87">
        <f t="shared" si="62"/>
        <v>0</v>
      </c>
      <c r="O207" s="87">
        <f t="shared" si="62"/>
        <v>0</v>
      </c>
      <c r="P207" s="87">
        <f t="shared" si="62"/>
        <v>0</v>
      </c>
      <c r="Q207" s="87">
        <f t="shared" si="62"/>
        <v>0</v>
      </c>
      <c r="R207" s="78">
        <f>SUM(F207:Q207)</f>
        <v>0</v>
      </c>
      <c r="S207" s="78">
        <f>E207-R207</f>
        <v>0</v>
      </c>
      <c r="T207" s="165" t="s">
        <v>112</v>
      </c>
      <c r="U207" s="97"/>
      <c r="V207" s="99"/>
    </row>
    <row r="208" spans="2:22" x14ac:dyDescent="0.35">
      <c r="B208" s="123"/>
      <c r="C208" s="84"/>
      <c r="D208" s="58"/>
      <c r="E208" s="72"/>
      <c r="F208" s="73"/>
      <c r="G208" s="73"/>
      <c r="H208" s="73"/>
      <c r="I208" s="73"/>
      <c r="J208" s="73"/>
      <c r="K208" s="73"/>
      <c r="L208" s="73"/>
      <c r="M208" s="73"/>
      <c r="N208" s="73"/>
      <c r="O208" s="73"/>
      <c r="P208" s="73"/>
      <c r="Q208" s="73"/>
      <c r="R208" s="73"/>
      <c r="S208" s="73"/>
      <c r="T208" s="72"/>
      <c r="U208" s="97"/>
      <c r="V208" s="99"/>
    </row>
    <row r="209" spans="2:22" x14ac:dyDescent="0.35">
      <c r="B209" s="123" t="s">
        <v>125</v>
      </c>
      <c r="C209" s="84"/>
      <c r="D209" s="58"/>
      <c r="E209" s="72"/>
      <c r="F209" s="73"/>
      <c r="G209" s="73"/>
      <c r="H209" s="73"/>
      <c r="I209" s="73"/>
      <c r="J209" s="73"/>
      <c r="K209" s="73"/>
      <c r="L209" s="73"/>
      <c r="M209" s="73"/>
      <c r="N209" s="73"/>
      <c r="O209" s="73"/>
      <c r="P209" s="73"/>
      <c r="Q209" s="73"/>
      <c r="R209" s="73"/>
      <c r="S209" s="73"/>
      <c r="T209" s="72"/>
      <c r="U209" s="97"/>
      <c r="V209" s="99"/>
    </row>
    <row r="210" spans="2:22" x14ac:dyDescent="0.35">
      <c r="B210" s="47" t="str">
        <f>'6) Year 1 Budget'!B172</f>
        <v>Staff Recruitment</v>
      </c>
      <c r="C210" s="131"/>
      <c r="D210" s="97"/>
      <c r="E210" s="115">
        <f>'6) Year 1 Budget'!E172</f>
        <v>15000</v>
      </c>
      <c r="F210" s="87">
        <v>0</v>
      </c>
      <c r="G210" s="87">
        <v>0</v>
      </c>
      <c r="H210" s="87">
        <v>0</v>
      </c>
      <c r="I210" s="87">
        <v>0</v>
      </c>
      <c r="J210" s="87">
        <v>0</v>
      </c>
      <c r="K210" s="87">
        <v>0</v>
      </c>
      <c r="L210" s="87">
        <v>10000</v>
      </c>
      <c r="M210" s="87">
        <f>($E210-$L$210)/5</f>
        <v>1000</v>
      </c>
      <c r="N210" s="87">
        <f>($E210-$L$210)/5</f>
        <v>1000</v>
      </c>
      <c r="O210" s="87">
        <f>($E210-$L$210)/5</f>
        <v>1000</v>
      </c>
      <c r="P210" s="87">
        <f>($E210-$L$210)/5</f>
        <v>1000</v>
      </c>
      <c r="Q210" s="87">
        <f>($E210-$L$210)/5</f>
        <v>1000</v>
      </c>
      <c r="R210" s="78">
        <f>SUM(F210:Q210)</f>
        <v>15000</v>
      </c>
      <c r="S210" s="78">
        <f>E210-R210</f>
        <v>0</v>
      </c>
      <c r="T210" s="165" t="s">
        <v>490</v>
      </c>
      <c r="U210" s="97"/>
      <c r="V210" s="99"/>
    </row>
    <row r="211" spans="2:22" ht="29" x14ac:dyDescent="0.35">
      <c r="B211" s="47" t="str">
        <f>'6) Year 1 Budget'!B173</f>
        <v>Student Recruitment &amp; Community Engagement</v>
      </c>
      <c r="C211" s="131"/>
      <c r="D211" s="97"/>
      <c r="E211" s="115">
        <f>'6) Year 1 Budget'!E173</f>
        <v>9000</v>
      </c>
      <c r="F211" s="87">
        <v>0</v>
      </c>
      <c r="G211" s="87">
        <v>0</v>
      </c>
      <c r="H211" s="87">
        <v>0</v>
      </c>
      <c r="I211" s="87">
        <v>0</v>
      </c>
      <c r="J211" s="87">
        <v>0</v>
      </c>
      <c r="K211" s="87">
        <v>0</v>
      </c>
      <c r="L211" s="87">
        <f t="shared" ref="L211:Q211" si="66">$E211/6</f>
        <v>1500</v>
      </c>
      <c r="M211" s="87">
        <f t="shared" si="66"/>
        <v>1500</v>
      </c>
      <c r="N211" s="87">
        <f t="shared" si="66"/>
        <v>1500</v>
      </c>
      <c r="O211" s="87">
        <f t="shared" si="66"/>
        <v>1500</v>
      </c>
      <c r="P211" s="87">
        <f t="shared" si="66"/>
        <v>1500</v>
      </c>
      <c r="Q211" s="87">
        <f t="shared" si="66"/>
        <v>1500</v>
      </c>
      <c r="R211" s="78">
        <f>SUM(F211:Q211)</f>
        <v>9000</v>
      </c>
      <c r="S211" s="78">
        <f>E211-R211</f>
        <v>0</v>
      </c>
      <c r="T211" s="261" t="s">
        <v>491</v>
      </c>
      <c r="U211" s="97"/>
      <c r="V211" s="99"/>
    </row>
    <row r="212" spans="2:22" x14ac:dyDescent="0.35">
      <c r="B212" s="47" t="str">
        <f>'6) Year 1 Budget'!B174</f>
        <v>Parent &amp; Staff Meetings</v>
      </c>
      <c r="C212" s="131"/>
      <c r="D212" s="97"/>
      <c r="E212" s="115">
        <f>'6) Year 1 Budget'!E174</f>
        <v>4000</v>
      </c>
      <c r="F212" s="87">
        <f t="shared" ref="F212:P212" si="67">$E212/11</f>
        <v>363.63636363636363</v>
      </c>
      <c r="G212" s="87">
        <f t="shared" si="67"/>
        <v>363.63636363636363</v>
      </c>
      <c r="H212" s="87">
        <f t="shared" si="67"/>
        <v>363.63636363636363</v>
      </c>
      <c r="I212" s="87">
        <f t="shared" si="67"/>
        <v>363.63636363636363</v>
      </c>
      <c r="J212" s="87">
        <f t="shared" si="67"/>
        <v>363.63636363636363</v>
      </c>
      <c r="K212" s="87">
        <f t="shared" si="67"/>
        <v>363.63636363636363</v>
      </c>
      <c r="L212" s="87">
        <f t="shared" si="67"/>
        <v>363.63636363636363</v>
      </c>
      <c r="M212" s="87">
        <f t="shared" si="67"/>
        <v>363.63636363636363</v>
      </c>
      <c r="N212" s="87">
        <f t="shared" si="67"/>
        <v>363.63636363636363</v>
      </c>
      <c r="O212" s="87">
        <f t="shared" si="67"/>
        <v>363.63636363636363</v>
      </c>
      <c r="P212" s="87">
        <f t="shared" si="67"/>
        <v>363.63636363636363</v>
      </c>
      <c r="Q212" s="87">
        <v>0</v>
      </c>
      <c r="R212" s="78">
        <f>SUM(F212:Q212)</f>
        <v>3999.9999999999991</v>
      </c>
      <c r="S212" s="78">
        <f>E212-R212</f>
        <v>0</v>
      </c>
      <c r="T212" s="165" t="s">
        <v>492</v>
      </c>
      <c r="U212" s="97"/>
      <c r="V212" s="99"/>
    </row>
    <row r="213" spans="2:22" s="250" customFormat="1" x14ac:dyDescent="0.35">
      <c r="B213" s="251" t="str">
        <f>'6) Year 1 Budget'!B175</f>
        <v>Authorizer Fee</v>
      </c>
      <c r="C213" s="257"/>
      <c r="D213" s="253"/>
      <c r="E213" s="254">
        <f>'6) Year 1 Budget'!E175</f>
        <v>31187</v>
      </c>
      <c r="F213" s="87">
        <f>$E213/12</f>
        <v>2598.9166666666665</v>
      </c>
      <c r="G213" s="87">
        <f t="shared" ref="G213:Q214" si="68">$E213/12</f>
        <v>2598.9166666666665</v>
      </c>
      <c r="H213" s="87">
        <f t="shared" si="68"/>
        <v>2598.9166666666665</v>
      </c>
      <c r="I213" s="87">
        <f t="shared" si="68"/>
        <v>2598.9166666666665</v>
      </c>
      <c r="J213" s="87">
        <f t="shared" si="68"/>
        <v>2598.9166666666665</v>
      </c>
      <c r="K213" s="87">
        <f t="shared" si="68"/>
        <v>2598.9166666666665</v>
      </c>
      <c r="L213" s="87">
        <f t="shared" si="68"/>
        <v>2598.9166666666665</v>
      </c>
      <c r="M213" s="87">
        <f t="shared" si="68"/>
        <v>2598.9166666666665</v>
      </c>
      <c r="N213" s="87">
        <f t="shared" si="68"/>
        <v>2598.9166666666665</v>
      </c>
      <c r="O213" s="87">
        <f t="shared" si="68"/>
        <v>2598.9166666666665</v>
      </c>
      <c r="P213" s="87">
        <f t="shared" si="68"/>
        <v>2598.9166666666665</v>
      </c>
      <c r="Q213" s="87">
        <f t="shared" si="68"/>
        <v>2598.9166666666665</v>
      </c>
      <c r="R213" s="255">
        <f>SUM(F213:Q213)</f>
        <v>31187.000000000004</v>
      </c>
      <c r="S213" s="255">
        <f>E213-R213</f>
        <v>0</v>
      </c>
      <c r="T213" s="165" t="s">
        <v>493</v>
      </c>
      <c r="U213" s="253"/>
      <c r="V213" s="256"/>
    </row>
    <row r="214" spans="2:22" x14ac:dyDescent="0.35">
      <c r="B214" s="47" t="str">
        <f>'6) Year 1 Budget'!B176</f>
        <v>Other</v>
      </c>
      <c r="C214" s="131"/>
      <c r="D214" s="97"/>
      <c r="E214" s="115">
        <f>'6) Year 1 Budget'!E176</f>
        <v>0</v>
      </c>
      <c r="F214" s="87">
        <f>$E214/12</f>
        <v>0</v>
      </c>
      <c r="G214" s="87">
        <f t="shared" si="68"/>
        <v>0</v>
      </c>
      <c r="H214" s="87">
        <f t="shared" si="68"/>
        <v>0</v>
      </c>
      <c r="I214" s="87">
        <f t="shared" si="68"/>
        <v>0</v>
      </c>
      <c r="J214" s="87">
        <f t="shared" si="68"/>
        <v>0</v>
      </c>
      <c r="K214" s="87">
        <f t="shared" si="68"/>
        <v>0</v>
      </c>
      <c r="L214" s="87">
        <f t="shared" si="68"/>
        <v>0</v>
      </c>
      <c r="M214" s="87">
        <f t="shared" si="68"/>
        <v>0</v>
      </c>
      <c r="N214" s="87">
        <f t="shared" si="68"/>
        <v>0</v>
      </c>
      <c r="O214" s="87">
        <f t="shared" si="68"/>
        <v>0</v>
      </c>
      <c r="P214" s="87">
        <f t="shared" si="68"/>
        <v>0</v>
      </c>
      <c r="Q214" s="87">
        <f t="shared" si="68"/>
        <v>0</v>
      </c>
      <c r="R214" s="78">
        <f>SUM(F214:Q214)</f>
        <v>0</v>
      </c>
      <c r="S214" s="78">
        <f>E214-R214</f>
        <v>0</v>
      </c>
      <c r="T214" s="165" t="s">
        <v>112</v>
      </c>
      <c r="U214" s="97"/>
      <c r="V214" s="99"/>
    </row>
    <row r="215" spans="2:22" x14ac:dyDescent="0.35">
      <c r="B215" s="123"/>
      <c r="C215" s="84"/>
      <c r="D215" s="58"/>
      <c r="E215" s="73"/>
      <c r="F215" s="73"/>
      <c r="G215" s="73"/>
      <c r="H215" s="73"/>
      <c r="I215" s="73"/>
      <c r="J215" s="73"/>
      <c r="K215" s="73"/>
      <c r="L215" s="73"/>
      <c r="M215" s="73"/>
      <c r="N215" s="73"/>
      <c r="O215" s="73"/>
      <c r="P215" s="73"/>
      <c r="Q215" s="73"/>
      <c r="R215" s="73"/>
      <c r="S215" s="73"/>
      <c r="T215" s="72"/>
      <c r="U215" s="97"/>
      <c r="V215" s="99"/>
    </row>
    <row r="216" spans="2:22" x14ac:dyDescent="0.35">
      <c r="B216" s="123" t="s">
        <v>126</v>
      </c>
      <c r="C216" s="84"/>
      <c r="D216" s="58"/>
      <c r="E216" s="73"/>
      <c r="F216" s="73"/>
      <c r="G216" s="73"/>
      <c r="H216" s="73"/>
      <c r="I216" s="73"/>
      <c r="J216" s="73"/>
      <c r="K216" s="73"/>
      <c r="L216" s="73"/>
      <c r="M216" s="73"/>
      <c r="N216" s="73"/>
      <c r="O216" s="73"/>
      <c r="P216" s="73"/>
      <c r="Q216" s="73"/>
      <c r="R216" s="73"/>
      <c r="S216" s="73"/>
      <c r="T216" s="72"/>
      <c r="U216" s="97"/>
      <c r="V216" s="99"/>
    </row>
    <row r="217" spans="2:22" x14ac:dyDescent="0.35">
      <c r="B217" s="47" t="str">
        <f>'6) Year 1 Budget'!B179</f>
        <v>Other</v>
      </c>
      <c r="C217" s="131"/>
      <c r="D217" s="97"/>
      <c r="E217" s="78">
        <f>'6) Year 1 Budget'!E179</f>
        <v>0</v>
      </c>
      <c r="F217" s="88">
        <f>$E217/12</f>
        <v>0</v>
      </c>
      <c r="G217" s="88">
        <f t="shared" ref="G217:Q221" si="69">$E217/12</f>
        <v>0</v>
      </c>
      <c r="H217" s="88">
        <f t="shared" si="69"/>
        <v>0</v>
      </c>
      <c r="I217" s="88">
        <f t="shared" si="69"/>
        <v>0</v>
      </c>
      <c r="J217" s="88">
        <f t="shared" si="69"/>
        <v>0</v>
      </c>
      <c r="K217" s="88">
        <f t="shared" si="69"/>
        <v>0</v>
      </c>
      <c r="L217" s="88">
        <f t="shared" si="69"/>
        <v>0</v>
      </c>
      <c r="M217" s="88">
        <f t="shared" si="69"/>
        <v>0</v>
      </c>
      <c r="N217" s="88">
        <f t="shared" si="69"/>
        <v>0</v>
      </c>
      <c r="O217" s="88">
        <f t="shared" si="69"/>
        <v>0</v>
      </c>
      <c r="P217" s="88">
        <f t="shared" si="69"/>
        <v>0</v>
      </c>
      <c r="Q217" s="88">
        <f t="shared" si="69"/>
        <v>0</v>
      </c>
      <c r="R217" s="78">
        <f>SUM(F217:Q217)</f>
        <v>0</v>
      </c>
      <c r="S217" s="78">
        <f>E217-R217</f>
        <v>0</v>
      </c>
      <c r="T217" s="165"/>
      <c r="U217" s="97"/>
      <c r="V217" s="99"/>
    </row>
    <row r="218" spans="2:22" x14ac:dyDescent="0.35">
      <c r="B218" s="47" t="str">
        <f>'6) Year 1 Budget'!B180</f>
        <v>Other</v>
      </c>
      <c r="C218" s="131"/>
      <c r="D218" s="97"/>
      <c r="E218" s="78">
        <f>'6) Year 1 Budget'!E180</f>
        <v>0</v>
      </c>
      <c r="F218" s="88">
        <f>$E218/12</f>
        <v>0</v>
      </c>
      <c r="G218" s="88">
        <f t="shared" si="69"/>
        <v>0</v>
      </c>
      <c r="H218" s="88">
        <f t="shared" si="69"/>
        <v>0</v>
      </c>
      <c r="I218" s="88">
        <f t="shared" si="69"/>
        <v>0</v>
      </c>
      <c r="J218" s="88">
        <f t="shared" si="69"/>
        <v>0</v>
      </c>
      <c r="K218" s="88">
        <f t="shared" si="69"/>
        <v>0</v>
      </c>
      <c r="L218" s="88">
        <f t="shared" si="69"/>
        <v>0</v>
      </c>
      <c r="M218" s="88">
        <f t="shared" si="69"/>
        <v>0</v>
      </c>
      <c r="N218" s="88">
        <f t="shared" si="69"/>
        <v>0</v>
      </c>
      <c r="O218" s="88">
        <f t="shared" si="69"/>
        <v>0</v>
      </c>
      <c r="P218" s="88">
        <f t="shared" si="69"/>
        <v>0</v>
      </c>
      <c r="Q218" s="88">
        <f t="shared" si="69"/>
        <v>0</v>
      </c>
      <c r="R218" s="78">
        <f>SUM(F218:Q218)</f>
        <v>0</v>
      </c>
      <c r="S218" s="78">
        <f>E218-R218</f>
        <v>0</v>
      </c>
      <c r="T218" s="165"/>
      <c r="U218" s="97"/>
      <c r="V218" s="99"/>
    </row>
    <row r="219" spans="2:22" x14ac:dyDescent="0.35">
      <c r="B219" s="47" t="str">
        <f>'6) Year 1 Budget'!B181</f>
        <v>Other</v>
      </c>
      <c r="C219" s="131"/>
      <c r="D219" s="97"/>
      <c r="E219" s="78">
        <f>'6) Year 1 Budget'!E181</f>
        <v>0</v>
      </c>
      <c r="F219" s="88">
        <f>$E219/12</f>
        <v>0</v>
      </c>
      <c r="G219" s="88">
        <f t="shared" si="69"/>
        <v>0</v>
      </c>
      <c r="H219" s="88">
        <f t="shared" si="69"/>
        <v>0</v>
      </c>
      <c r="I219" s="88">
        <f t="shared" si="69"/>
        <v>0</v>
      </c>
      <c r="J219" s="88">
        <f t="shared" si="69"/>
        <v>0</v>
      </c>
      <c r="K219" s="88">
        <f t="shared" si="69"/>
        <v>0</v>
      </c>
      <c r="L219" s="88">
        <f t="shared" si="69"/>
        <v>0</v>
      </c>
      <c r="M219" s="88">
        <f t="shared" si="69"/>
        <v>0</v>
      </c>
      <c r="N219" s="88">
        <f t="shared" si="69"/>
        <v>0</v>
      </c>
      <c r="O219" s="88">
        <f t="shared" si="69"/>
        <v>0</v>
      </c>
      <c r="P219" s="88">
        <f t="shared" si="69"/>
        <v>0</v>
      </c>
      <c r="Q219" s="88">
        <f t="shared" si="69"/>
        <v>0</v>
      </c>
      <c r="R219" s="78">
        <f>SUM(F219:Q219)</f>
        <v>0</v>
      </c>
      <c r="S219" s="78">
        <f>E219-R219</f>
        <v>0</v>
      </c>
      <c r="T219" s="165"/>
      <c r="U219" s="97"/>
      <c r="V219" s="99"/>
    </row>
    <row r="220" spans="2:22" x14ac:dyDescent="0.35">
      <c r="B220" s="47" t="str">
        <f>'6) Year 1 Budget'!B182</f>
        <v>Other</v>
      </c>
      <c r="C220" s="131"/>
      <c r="D220" s="97"/>
      <c r="E220" s="78">
        <f>'6) Year 1 Budget'!E182</f>
        <v>0</v>
      </c>
      <c r="F220" s="88">
        <f>$E220/12</f>
        <v>0</v>
      </c>
      <c r="G220" s="88">
        <f t="shared" si="69"/>
        <v>0</v>
      </c>
      <c r="H220" s="88">
        <f t="shared" si="69"/>
        <v>0</v>
      </c>
      <c r="I220" s="88">
        <f t="shared" si="69"/>
        <v>0</v>
      </c>
      <c r="J220" s="88">
        <f t="shared" si="69"/>
        <v>0</v>
      </c>
      <c r="K220" s="88">
        <f t="shared" si="69"/>
        <v>0</v>
      </c>
      <c r="L220" s="88">
        <f t="shared" si="69"/>
        <v>0</v>
      </c>
      <c r="M220" s="88">
        <f t="shared" si="69"/>
        <v>0</v>
      </c>
      <c r="N220" s="88">
        <f t="shared" si="69"/>
        <v>0</v>
      </c>
      <c r="O220" s="88">
        <f t="shared" si="69"/>
        <v>0</v>
      </c>
      <c r="P220" s="88">
        <f t="shared" si="69"/>
        <v>0</v>
      </c>
      <c r="Q220" s="88">
        <f t="shared" si="69"/>
        <v>0</v>
      </c>
      <c r="R220" s="78">
        <f>SUM(F220:Q220)</f>
        <v>0</v>
      </c>
      <c r="S220" s="78">
        <f>E220-R220</f>
        <v>0</v>
      </c>
      <c r="T220" s="165"/>
      <c r="U220" s="97"/>
      <c r="V220" s="99"/>
    </row>
    <row r="221" spans="2:22" x14ac:dyDescent="0.35">
      <c r="B221" s="47" t="str">
        <f>'6) Year 1 Budget'!B183</f>
        <v>Other</v>
      </c>
      <c r="C221" s="131"/>
      <c r="D221" s="97"/>
      <c r="E221" s="78">
        <f>'6) Year 1 Budget'!E183</f>
        <v>0</v>
      </c>
      <c r="F221" s="88">
        <f>$E221/12</f>
        <v>0</v>
      </c>
      <c r="G221" s="88">
        <f t="shared" si="69"/>
        <v>0</v>
      </c>
      <c r="H221" s="88">
        <f t="shared" si="69"/>
        <v>0</v>
      </c>
      <c r="I221" s="88">
        <f t="shared" si="69"/>
        <v>0</v>
      </c>
      <c r="J221" s="88">
        <f t="shared" si="69"/>
        <v>0</v>
      </c>
      <c r="K221" s="88">
        <f t="shared" si="69"/>
        <v>0</v>
      </c>
      <c r="L221" s="88">
        <f t="shared" si="69"/>
        <v>0</v>
      </c>
      <c r="M221" s="88">
        <f t="shared" si="69"/>
        <v>0</v>
      </c>
      <c r="N221" s="88">
        <f t="shared" si="69"/>
        <v>0</v>
      </c>
      <c r="O221" s="88">
        <f t="shared" si="69"/>
        <v>0</v>
      </c>
      <c r="P221" s="88">
        <f t="shared" si="69"/>
        <v>0</v>
      </c>
      <c r="Q221" s="88">
        <f t="shared" si="69"/>
        <v>0</v>
      </c>
      <c r="R221" s="78">
        <f>SUM(F221:Q221)</f>
        <v>0</v>
      </c>
      <c r="S221" s="78">
        <f>E221-R221</f>
        <v>0</v>
      </c>
      <c r="T221" s="165"/>
      <c r="U221" s="97"/>
      <c r="V221" s="99"/>
    </row>
    <row r="222" spans="2:22" x14ac:dyDescent="0.35">
      <c r="B222" s="123"/>
      <c r="C222" s="58"/>
      <c r="D222" s="58"/>
      <c r="E222" s="73"/>
      <c r="F222" s="73"/>
      <c r="G222" s="73"/>
      <c r="H222" s="73"/>
      <c r="I222" s="73"/>
      <c r="J222" s="73"/>
      <c r="K222" s="73"/>
      <c r="L222" s="73"/>
      <c r="M222" s="73"/>
      <c r="N222" s="73"/>
      <c r="O222" s="73"/>
      <c r="P222" s="73"/>
      <c r="Q222" s="73"/>
      <c r="R222" s="73"/>
      <c r="S222" s="73"/>
      <c r="T222" s="72"/>
      <c r="U222" s="97"/>
      <c r="V222" s="99"/>
    </row>
    <row r="223" spans="2:22" ht="15" thickBot="1" x14ac:dyDescent="0.4">
      <c r="B223" s="123" t="s">
        <v>129</v>
      </c>
      <c r="C223" s="58"/>
      <c r="D223" s="58"/>
      <c r="E223" s="71">
        <f>SUM(E159:E173,E176:E190,E193:E207,E210:E214,E217:E221)</f>
        <v>524492</v>
      </c>
      <c r="F223" s="71">
        <f t="shared" ref="F223:M223" si="70">SUM(F159:F173,F176:F190,F193:F207,F210:F214,F217:F221)</f>
        <v>188387.96969696964</v>
      </c>
      <c r="G223" s="71">
        <f t="shared" si="70"/>
        <v>28067.969696969703</v>
      </c>
      <c r="H223" s="71">
        <f t="shared" si="70"/>
        <v>28067.969696969703</v>
      </c>
      <c r="I223" s="71">
        <f t="shared" si="70"/>
        <v>28067.969696969703</v>
      </c>
      <c r="J223" s="71">
        <f t="shared" si="70"/>
        <v>28067.969696969703</v>
      </c>
      <c r="K223" s="71">
        <f t="shared" si="70"/>
        <v>28067.969696969703</v>
      </c>
      <c r="L223" s="71">
        <f t="shared" si="70"/>
        <v>39567.969696969696</v>
      </c>
      <c r="M223" s="71">
        <f t="shared" si="70"/>
        <v>30567.969696969703</v>
      </c>
      <c r="N223" s="71">
        <f t="shared" ref="N223:S223" si="71">SUM(N159:N173,N176:N190,N193:N207,N210:N214,N217:N221)</f>
        <v>30567.969696969703</v>
      </c>
      <c r="O223" s="71">
        <f t="shared" si="71"/>
        <v>30567.969696969703</v>
      </c>
      <c r="P223" s="71">
        <f t="shared" si="71"/>
        <v>30567.969696969703</v>
      </c>
      <c r="Q223" s="71">
        <f t="shared" si="71"/>
        <v>33924.333333333336</v>
      </c>
      <c r="R223" s="71">
        <f t="shared" si="71"/>
        <v>524492</v>
      </c>
      <c r="S223" s="71">
        <f t="shared" si="71"/>
        <v>0</v>
      </c>
      <c r="T223" s="72"/>
      <c r="U223" s="97"/>
      <c r="V223" s="99"/>
    </row>
    <row r="224" spans="2:22" ht="15" thickTop="1" x14ac:dyDescent="0.35">
      <c r="B224" s="123"/>
      <c r="C224" s="58"/>
      <c r="D224" s="58"/>
      <c r="E224" s="73"/>
      <c r="F224" s="73"/>
      <c r="G224" s="73"/>
      <c r="H224" s="73"/>
      <c r="I224" s="73"/>
      <c r="J224" s="73"/>
      <c r="K224" s="73"/>
      <c r="L224" s="73"/>
      <c r="M224" s="73"/>
      <c r="N224" s="73"/>
      <c r="O224" s="73"/>
      <c r="P224" s="73"/>
      <c r="Q224" s="73"/>
      <c r="R224" s="73"/>
      <c r="S224" s="73"/>
      <c r="T224" s="72"/>
      <c r="U224" s="97"/>
      <c r="V224" s="99"/>
    </row>
    <row r="225" spans="2:22" ht="15" thickBot="1" x14ac:dyDescent="0.4">
      <c r="B225" s="123" t="s">
        <v>132</v>
      </c>
      <c r="C225" s="58"/>
      <c r="D225" s="58"/>
      <c r="E225" s="71">
        <f>E123+E148+E223</f>
        <v>1297375.3999999999</v>
      </c>
      <c r="F225" s="71">
        <f t="shared" ref="F225:M225" si="72">F123+F148+F223</f>
        <v>252794.91969696962</v>
      </c>
      <c r="G225" s="71">
        <f t="shared" si="72"/>
        <v>92474.919696969708</v>
      </c>
      <c r="H225" s="71">
        <f t="shared" si="72"/>
        <v>92474.919696969708</v>
      </c>
      <c r="I225" s="71">
        <f t="shared" si="72"/>
        <v>92474.919696969708</v>
      </c>
      <c r="J225" s="71">
        <f t="shared" si="72"/>
        <v>92474.919696969708</v>
      </c>
      <c r="K225" s="71">
        <f t="shared" si="72"/>
        <v>92474.919696969708</v>
      </c>
      <c r="L225" s="71">
        <f t="shared" si="72"/>
        <v>103974.91969696969</v>
      </c>
      <c r="M225" s="71">
        <f t="shared" si="72"/>
        <v>94974.919696969708</v>
      </c>
      <c r="N225" s="71">
        <f t="shared" ref="N225:S225" si="73">N123+N148+N223</f>
        <v>94974.919696969708</v>
      </c>
      <c r="O225" s="71">
        <f t="shared" si="73"/>
        <v>94974.919696969708</v>
      </c>
      <c r="P225" s="71">
        <f t="shared" si="73"/>
        <v>94974.919696969708</v>
      </c>
      <c r="Q225" s="71">
        <f t="shared" si="73"/>
        <v>98331.283333333326</v>
      </c>
      <c r="R225" s="71">
        <f t="shared" si="73"/>
        <v>1297375.3999999999</v>
      </c>
      <c r="S225" s="71">
        <f t="shared" si="73"/>
        <v>0</v>
      </c>
      <c r="T225" s="72"/>
      <c r="U225" s="97"/>
      <c r="V225" s="99"/>
    </row>
    <row r="226" spans="2:22" ht="15.5" thickTop="1" thickBot="1" x14ac:dyDescent="0.4">
      <c r="B226" s="132"/>
      <c r="C226" s="133"/>
      <c r="D226" s="133"/>
      <c r="E226" s="133"/>
      <c r="F226" s="133"/>
      <c r="G226" s="133"/>
      <c r="H226" s="133"/>
      <c r="I226" s="133"/>
      <c r="J226" s="133"/>
      <c r="K226" s="133"/>
      <c r="L226" s="133"/>
      <c r="M226" s="133"/>
      <c r="N226" s="133"/>
      <c r="O226" s="133"/>
      <c r="P226" s="133"/>
      <c r="Q226" s="133"/>
      <c r="R226" s="133"/>
      <c r="S226" s="133"/>
      <c r="T226" s="133"/>
      <c r="U226" s="133"/>
      <c r="V226" s="134"/>
    </row>
    <row r="227" spans="2:22" x14ac:dyDescent="0.35">
      <c r="U227" s="97"/>
      <c r="V227" s="97"/>
    </row>
  </sheetData>
  <sheetProtection formatColumns="0" formatRows="0"/>
  <mergeCells count="9">
    <mergeCell ref="E151:S151"/>
    <mergeCell ref="E53:S53"/>
    <mergeCell ref="E46:S46"/>
    <mergeCell ref="E3:S3"/>
    <mergeCell ref="E4:S4"/>
    <mergeCell ref="E5:S5"/>
    <mergeCell ref="E88:S88"/>
    <mergeCell ref="E126:S126"/>
    <mergeCell ref="E8:S8"/>
  </mergeCells>
  <pageMargins left="0.7" right="0.7" top="0.75" bottom="0.75" header="0.3" footer="0.3"/>
  <pageSetup scale="46" fitToHeight="5" orientation="landscape" horizontalDpi="1200" verticalDpi="1200" r:id="rId1"/>
  <headerFooter>
    <oddFooter>&amp;L&amp;A&amp;RPage &amp;P of &amp;N</oddFooter>
  </headerFooter>
  <rowBreaks count="4" manualBreakCount="4">
    <brk id="44" max="22" man="1"/>
    <brk id="86" max="22" man="1"/>
    <brk id="149" max="22" man="1"/>
    <brk id="191"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Source</vt:lpstr>
      <vt:lpstr>Instructions</vt:lpstr>
      <vt:lpstr>1) Proposed School Information</vt:lpstr>
      <vt:lpstr>2) Student Assumptions</vt:lpstr>
      <vt:lpstr>3) Pre-Opening Budget</vt:lpstr>
      <vt:lpstr>4) Pre-Opening Cash Flow</vt:lpstr>
      <vt:lpstr>5) Year 1-5 Staff Assumptions</vt:lpstr>
      <vt:lpstr>6) Year 1 Budget</vt:lpstr>
      <vt:lpstr>7) Year 1 Cash Flow</vt:lpstr>
      <vt:lpstr>8) Year 2 through 5 Budget</vt:lpstr>
      <vt:lpstr>9) Summary</vt:lpstr>
      <vt:lpstr>'2) Student Assumptions'!Print_Area</vt:lpstr>
      <vt:lpstr>'3) Pre-Opening Budget'!Print_Area</vt:lpstr>
      <vt:lpstr>'4) Pre-Opening Cash Flow'!Print_Area</vt:lpstr>
      <vt:lpstr>'5) Year 1-5 Staff Assumptions'!Print_Area</vt:lpstr>
      <vt:lpstr>'6) Year 1 Budget'!Print_Area</vt:lpstr>
      <vt:lpstr>'7) Year 1 Cash Flow'!Print_Area</vt:lpstr>
      <vt:lpstr>'8) Year 2 through 5 Budget'!Print_Area</vt:lpstr>
      <vt:lpstr>Instructions!Print_Area</vt:lpstr>
      <vt:lpstr>'2) Student Assumptions'!Print_Titles</vt:lpstr>
      <vt:lpstr>'3) Pre-Opening Budget'!Print_Titles</vt:lpstr>
      <vt:lpstr>'4) Pre-Opening Cash Flow'!Print_Titles</vt:lpstr>
      <vt:lpstr>'5) Year 1-5 Staff Assumptions'!Print_Titles</vt:lpstr>
      <vt:lpstr>'6) Year 1 Budget'!Print_Titles</vt:lpstr>
      <vt:lpstr>'7) Year 1 Cash Flow'!Print_Titles</vt:lpstr>
      <vt:lpstr>'8) Year 2 through 5 Budget'!Print_Titles</vt:lpstr>
      <vt:lpstr>T29T58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Gasper Magallanes</dc:creator>
  <cp:lastModifiedBy>lmcclary</cp:lastModifiedBy>
  <cp:lastPrinted>2017-03-16T04:25:08Z</cp:lastPrinted>
  <dcterms:created xsi:type="dcterms:W3CDTF">2016-02-03T14:36:57Z</dcterms:created>
  <dcterms:modified xsi:type="dcterms:W3CDTF">2020-02-04T15:35:06Z</dcterms:modified>
</cp:coreProperties>
</file>